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5865953C-6C47-4CD0-B4D7-3830DA0273B0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Cover Page" sheetId="13" r:id="rId1"/>
    <sheet name="Transmission CIP v.6 O&amp;M" sheetId="12" r:id="rId2"/>
    <sheet name="NERC transmission line veg mgmt" sheetId="19" r:id="rId3"/>
    <sheet name="Production CIP v.6 O&amp;M" sheetId="8" r:id="rId4"/>
    <sheet name="MOD 26 MOD 27" sheetId="17" r:id="rId5"/>
    <sheet name="EPMO Employee Labor O&amp;M" sheetId="14" r:id="rId6"/>
    <sheet name="EPMO Contract Labor O&amp;M" sheetId="3" r:id="rId7"/>
    <sheet name="2018 IT Tools O&amp;M" sheetId="15" r:id="rId8"/>
    <sheet name="2019 IT Tools O&amp;M" sheetId="16" r:id="rId9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_xlnm.Print_Area" localSheetId="7">'2018 IT Tools O&amp;M'!$A$1:$G$30</definedName>
    <definedName name="_xlnm.Print_Area" localSheetId="8">'2019 IT Tools O&amp;M'!$A$1:$I$34</definedName>
    <definedName name="_xlnm.Print_Area" localSheetId="6">'EPMO Contract Labor O&amp;M'!$A$1:$G$20</definedName>
    <definedName name="_xlnm.Print_Area" localSheetId="5">'EPMO Employee Labor O&amp;M'!$A$1:$I$79</definedName>
    <definedName name="_xlnm.Print_Area" localSheetId="4">'MOD 26 MOD 27'!$A$1:$C$26</definedName>
    <definedName name="_xlnm.Print_Area" localSheetId="2">'NERC transmission line veg mgmt'!$A$1:$F$54</definedName>
    <definedName name="_xlnm.Print_Area" localSheetId="3">'Production CIP v.6 O&amp;M'!$A$1:$C$21</definedName>
    <definedName name="_xlnm.Print_Area" localSheetId="1">'Transmission CIP v.6 O&amp;M'!$A$1:$E$40</definedName>
    <definedName name="_xlnm.Print_Titles" localSheetId="7">'2018 IT Tools O&amp;M'!$1:$3</definedName>
    <definedName name="_xlnm.Print_Titles" localSheetId="8">'2019 IT Tools O&amp;M'!$4:$5</definedName>
    <definedName name="_xlnm.Print_Titles" localSheetId="4">'MOD 26 MOD 27'!#REF!</definedName>
    <definedName name="_xlnm.Print_Titles" localSheetId="3">'Production CIP v.6 O&amp;M'!$4:$5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 hidden="1">{"edcredit",#N/A,FALSE,"edcredit"}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9" l="1"/>
  <c r="C26" i="17" l="1"/>
  <c r="I190" i="16"/>
  <c r="H190" i="16"/>
  <c r="J190" i="16" s="1"/>
  <c r="H34" i="16"/>
  <c r="G34" i="16"/>
  <c r="I34" i="16" s="1"/>
  <c r="G30" i="15" l="1"/>
  <c r="E20" i="3" l="1"/>
  <c r="G20" i="3" s="1"/>
  <c r="G18" i="3"/>
  <c r="C74" i="14" l="1"/>
  <c r="C64" i="14"/>
  <c r="C65" i="14" s="1"/>
  <c r="D63" i="14"/>
  <c r="E63" i="14" s="1"/>
  <c r="C55" i="14"/>
  <c r="C45" i="14"/>
  <c r="C46" i="14" s="1"/>
  <c r="D44" i="14"/>
  <c r="E44" i="14" s="1"/>
  <c r="E45" i="14" s="1"/>
  <c r="B36" i="14"/>
  <c r="C26" i="14"/>
  <c r="C27" i="14" s="1"/>
  <c r="C30" i="14" s="1"/>
  <c r="D25" i="14"/>
  <c r="B25" i="14"/>
  <c r="B26" i="14" s="1"/>
  <c r="C17" i="14"/>
  <c r="B17" i="14"/>
  <c r="B7" i="14"/>
  <c r="B8" i="14" s="1"/>
  <c r="B14" i="14" s="1"/>
  <c r="E6" i="14"/>
  <c r="E7" i="14" s="1"/>
  <c r="C6" i="14"/>
  <c r="D45" i="14" l="1"/>
  <c r="C7" i="14"/>
  <c r="C8" i="14" s="1"/>
  <c r="E8" i="14"/>
  <c r="E14" i="14" s="1"/>
  <c r="D64" i="14"/>
  <c r="B11" i="14"/>
  <c r="F44" i="14"/>
  <c r="E46" i="14"/>
  <c r="E11" i="14"/>
  <c r="E16" i="14" s="1"/>
  <c r="E18" i="14" s="1"/>
  <c r="E20" i="14" s="1"/>
  <c r="D26" i="14"/>
  <c r="D27" i="14" s="1"/>
  <c r="E25" i="14"/>
  <c r="F63" i="14"/>
  <c r="F6" i="14"/>
  <c r="B16" i="14"/>
  <c r="B18" i="14" s="1"/>
  <c r="B20" i="14" s="1"/>
  <c r="B27" i="14"/>
  <c r="E64" i="14"/>
  <c r="E65" i="14" s="1"/>
  <c r="C52" i="14"/>
  <c r="C71" i="14"/>
  <c r="C73" i="14" s="1"/>
  <c r="C75" i="14" s="1"/>
  <c r="C77" i="14" s="1"/>
  <c r="C33" i="14"/>
  <c r="C35" i="14" s="1"/>
  <c r="C37" i="14" s="1"/>
  <c r="C39" i="14" s="1"/>
  <c r="D46" i="14"/>
  <c r="D65" i="14"/>
  <c r="C49" i="14"/>
  <c r="C54" i="14" s="1"/>
  <c r="C56" i="14" s="1"/>
  <c r="C58" i="14" s="1"/>
  <c r="C68" i="14"/>
  <c r="C11" i="14" l="1"/>
  <c r="C16" i="14"/>
  <c r="C18" i="14" s="1"/>
  <c r="C20" i="14" s="1"/>
  <c r="C79" i="14" s="1"/>
  <c r="C14" i="14"/>
  <c r="D33" i="14"/>
  <c r="D30" i="14"/>
  <c r="D35" i="14" s="1"/>
  <c r="D37" i="14" s="1"/>
  <c r="D39" i="14" s="1"/>
  <c r="D71" i="14"/>
  <c r="D68" i="14"/>
  <c r="D73" i="14" s="1"/>
  <c r="D75" i="14" s="1"/>
  <c r="D77" i="14" s="1"/>
  <c r="D52" i="14"/>
  <c r="D49" i="14"/>
  <c r="D54" i="14" s="1"/>
  <c r="D56" i="14" s="1"/>
  <c r="D58" i="14" s="1"/>
  <c r="F7" i="14"/>
  <c r="F8" i="14"/>
  <c r="E26" i="14"/>
  <c r="E27" i="14" s="1"/>
  <c r="F25" i="14"/>
  <c r="E52" i="14"/>
  <c r="E54" i="14"/>
  <c r="E56" i="14" s="1"/>
  <c r="E58" i="14" s="1"/>
  <c r="E49" i="14"/>
  <c r="F64" i="14"/>
  <c r="F65" i="14" s="1"/>
  <c r="F45" i="14"/>
  <c r="F46" i="14" s="1"/>
  <c r="E71" i="14"/>
  <c r="E68" i="14"/>
  <c r="E73" i="14" s="1"/>
  <c r="E75" i="14" s="1"/>
  <c r="E77" i="14" s="1"/>
  <c r="B30" i="14"/>
  <c r="B33" i="14"/>
  <c r="B35" i="14" s="1"/>
  <c r="B37" i="14" s="1"/>
  <c r="B39" i="14" s="1"/>
  <c r="B79" i="14" s="1"/>
  <c r="F52" i="14" l="1"/>
  <c r="F49" i="14"/>
  <c r="F54" i="14" s="1"/>
  <c r="F56" i="14" s="1"/>
  <c r="F58" i="14" s="1"/>
  <c r="E33" i="14"/>
  <c r="E30" i="14"/>
  <c r="E35" i="14" s="1"/>
  <c r="E79" i="14" s="1"/>
  <c r="F71" i="14"/>
  <c r="F68" i="14"/>
  <c r="F73" i="14" s="1"/>
  <c r="F75" i="14" s="1"/>
  <c r="F77" i="14" s="1"/>
  <c r="D79" i="14"/>
  <c r="F11" i="14"/>
  <c r="F14" i="14"/>
  <c r="F26" i="14"/>
  <c r="F27" i="14" s="1"/>
  <c r="F16" i="14" l="1"/>
  <c r="F18" i="14" s="1"/>
  <c r="F20" i="14" s="1"/>
  <c r="F33" i="14"/>
  <c r="F30" i="14"/>
  <c r="F35" i="14" s="1"/>
  <c r="F79" i="14" s="1"/>
  <c r="C21" i="8" l="1"/>
  <c r="C31" i="12" l="1"/>
  <c r="C28" i="12"/>
  <c r="C25" i="12"/>
  <c r="C26" i="12" s="1"/>
  <c r="C32" i="12" l="1"/>
  <c r="C29" i="12"/>
  <c r="C34" i="12" s="1"/>
  <c r="D31" i="12" l="1"/>
  <c r="D28" i="12"/>
  <c r="D24" i="12"/>
  <c r="D25" i="12" l="1"/>
  <c r="D26" i="12" s="1"/>
  <c r="C8" i="12"/>
  <c r="C9" i="12" s="1"/>
  <c r="D7" i="12"/>
  <c r="D32" i="12" l="1"/>
  <c r="D29" i="12"/>
  <c r="D34" i="12" s="1"/>
  <c r="D36" i="12" s="1"/>
  <c r="D38" i="12" s="1"/>
  <c r="C15" i="12"/>
  <c r="C12" i="12"/>
  <c r="C17" i="12" s="1"/>
  <c r="C40" i="12" s="1"/>
  <c r="D8" i="12"/>
  <c r="D9" i="12" s="1"/>
  <c r="D12" i="12" l="1"/>
  <c r="D15" i="12"/>
  <c r="D17" i="12" l="1"/>
  <c r="D40" i="12" s="1"/>
  <c r="F11" i="3" l="1"/>
  <c r="E11" i="3"/>
  <c r="G10" i="3"/>
  <c r="G9" i="3"/>
  <c r="G8" i="3"/>
  <c r="F7" i="3"/>
  <c r="E7" i="3"/>
  <c r="G6" i="3"/>
  <c r="G7" i="3" s="1"/>
  <c r="E12" i="3" l="1"/>
  <c r="F12" i="3"/>
  <c r="F14" i="3" s="1"/>
  <c r="G11" i="3"/>
  <c r="G12" i="3" s="1"/>
  <c r="C7" i="8" l="1"/>
  <c r="E14" i="3" l="1"/>
  <c r="G14" i="3" s="1"/>
</calcChain>
</file>

<file path=xl/sharedStrings.xml><?xml version="1.0" encoding="utf-8"?>
<sst xmlns="http://schemas.openxmlformats.org/spreadsheetml/2006/main" count="491" uniqueCount="185">
  <si>
    <t>Sum of Monetary Amount JD</t>
  </si>
  <si>
    <t>Oper Unit ID CB</t>
  </si>
  <si>
    <t>Project ID CB</t>
  </si>
  <si>
    <t>Account ID CB</t>
  </si>
  <si>
    <t>Account Long Descr CB</t>
  </si>
  <si>
    <t>Resource Type ID CB</t>
  </si>
  <si>
    <t>Resource Type Long Descr CB</t>
  </si>
  <si>
    <t>DEMA</t>
  </si>
  <si>
    <t>DUMA</t>
  </si>
  <si>
    <t>Grand Total</t>
  </si>
  <si>
    <t>69400</t>
  </si>
  <si>
    <t>Turnkey Service Contract Labor</t>
  </si>
  <si>
    <t>0921200</t>
  </si>
  <si>
    <t>Office Expenses</t>
  </si>
  <si>
    <t>21000</t>
  </si>
  <si>
    <t>Direct Material/Inventory Cost</t>
  </si>
  <si>
    <t>0923000</t>
  </si>
  <si>
    <t>Outside Services Employed</t>
  </si>
  <si>
    <t>69000</t>
  </si>
  <si>
    <t>Consultant</t>
  </si>
  <si>
    <t>DEI %</t>
  </si>
  <si>
    <t>Project Short Descr CB</t>
  </si>
  <si>
    <t>35000</t>
  </si>
  <si>
    <t>Direct Mat/Purchases Accrual</t>
  </si>
  <si>
    <t>310040</t>
  </si>
  <si>
    <t>NERC CIP Tools - Configuration Moni</t>
  </si>
  <si>
    <t>310040 Total</t>
  </si>
  <si>
    <t>310960OM</t>
  </si>
  <si>
    <t>NERC CIP Asset Change and Workflow</t>
  </si>
  <si>
    <t>310960OM Total</t>
  </si>
  <si>
    <t>NERCIPIAM</t>
  </si>
  <si>
    <t>NERC CIP IAM</t>
  </si>
  <si>
    <t>69500</t>
  </si>
  <si>
    <t>Other Contracts</t>
  </si>
  <si>
    <t>NERCIPIAM Total</t>
  </si>
  <si>
    <t>Total</t>
  </si>
  <si>
    <t>Fully Loaded Labor Cost for Transmission FTE Supporting Indiana NERC CIP Compliance:</t>
  </si>
  <si>
    <t>Salary</t>
  </si>
  <si>
    <t>Incentive</t>
  </si>
  <si>
    <t>Loading Base</t>
  </si>
  <si>
    <t>Payroll tax (%)</t>
  </si>
  <si>
    <t>Payroll tax ($)</t>
  </si>
  <si>
    <t>Fringe benefits (%)</t>
  </si>
  <si>
    <t>Fringe benefits ($)</t>
  </si>
  <si>
    <t>Fully loaded labor cost</t>
  </si>
  <si>
    <t>69100</t>
  </si>
  <si>
    <t>Baseload Contract Labor</t>
  </si>
  <si>
    <t>31000</t>
  </si>
  <si>
    <t>Direct Material Purchases</t>
  </si>
  <si>
    <t>36002</t>
  </si>
  <si>
    <t>IT SOFTWARE MAINTENANCE</t>
  </si>
  <si>
    <t>Project Manager II</t>
  </si>
  <si>
    <t>Salary (hire date 6/5/2017, transfer to new dept 5/1/2018)</t>
  </si>
  <si>
    <t>Pro-rate 2017 (210/365 days) and 2018 (4/12 months)</t>
  </si>
  <si>
    <t>operating unit DEMA</t>
  </si>
  <si>
    <t>Senior Change Management Consultant</t>
  </si>
  <si>
    <t>Salary (hire date 9/1/2017)</t>
  </si>
  <si>
    <t>Pro-rate 2017 (4/12 months)</t>
  </si>
  <si>
    <t>Total O&amp;M</t>
  </si>
  <si>
    <t>Page 5 of 8</t>
  </si>
  <si>
    <t>Page 6 of 8</t>
  </si>
  <si>
    <t>Page 7 of 8</t>
  </si>
  <si>
    <t>Page 1 of 8</t>
  </si>
  <si>
    <t>Page 2 of 8</t>
  </si>
  <si>
    <t>0921200 Total</t>
  </si>
  <si>
    <t>0923000 Total</t>
  </si>
  <si>
    <t>escalate at 3% annually</t>
  </si>
  <si>
    <t>Fully Loaded Labor Cost for Service Company Employee Overseeing Electronic Key System:</t>
  </si>
  <si>
    <t>(capital Jan-Mar,</t>
  </si>
  <si>
    <t>O&amp;M Apr-forward)</t>
  </si>
  <si>
    <t>Salary (hire date 4/2/2018)</t>
  </si>
  <si>
    <t>% to DEI</t>
  </si>
  <si>
    <t>On Behalf of Duke Energy Indiana, LLC</t>
  </si>
  <si>
    <t>Workpaper of Christa L. Graft</t>
  </si>
  <si>
    <t>IURC Cause No. 44367 FMCA 5</t>
  </si>
  <si>
    <t>Workpaper 6-CLG</t>
  </si>
  <si>
    <t>(capital)</t>
  </si>
  <si>
    <t>prorated for 9 months</t>
  </si>
  <si>
    <t>10.5% in 2016; 11.5% in 2017-2019</t>
  </si>
  <si>
    <t>operating unit DERE</t>
  </si>
  <si>
    <t>2018-2019 CIP-003 v6 Transmission O&amp;M</t>
  </si>
  <si>
    <t>2018 and 2019 CIP-003 v6 Production O&amp;M</t>
  </si>
  <si>
    <t>11000</t>
  </si>
  <si>
    <t>18350</t>
  </si>
  <si>
    <t>18400</t>
  </si>
  <si>
    <t>18500</t>
  </si>
  <si>
    <t>28002</t>
  </si>
  <si>
    <t>99840</t>
  </si>
  <si>
    <t>Labor</t>
  </si>
  <si>
    <t>Allocated Fringes &amp; Non Union</t>
  </si>
  <si>
    <t>Incentives Allocated</t>
  </si>
  <si>
    <t>Stores Loading</t>
  </si>
  <si>
    <t>Expense Reimbursements</t>
  </si>
  <si>
    <t>Expense Reimburse-Labor</t>
  </si>
  <si>
    <t>Fully Loaded Labor Cost for EPMO Employees</t>
  </si>
  <si>
    <t>Salary (hire date 5/21/2018)</t>
  </si>
  <si>
    <t>Pro-rate 2018 (225/365 days)</t>
  </si>
  <si>
    <t>Lead Compliance Analyst</t>
  </si>
  <si>
    <t>Salary (hire date 6/4/2018)</t>
  </si>
  <si>
    <t>Pro-rate 2018 (211/365 days)</t>
  </si>
  <si>
    <t>Page 3 of 8</t>
  </si>
  <si>
    <t>2018-2019 EPMO Contract Labor O&amp;M</t>
  </si>
  <si>
    <t>310960CP2</t>
  </si>
  <si>
    <t>NERC CIP Tools-ACWM-Phase 2</t>
  </si>
  <si>
    <t>310960CP2 Total</t>
  </si>
  <si>
    <t>338283001</t>
  </si>
  <si>
    <t>ID Manager Upgrade Project</t>
  </si>
  <si>
    <t>338283001 Total</t>
  </si>
  <si>
    <t>IT1800027</t>
  </si>
  <si>
    <t>Azure Information Protection (AIP)</t>
  </si>
  <si>
    <t>0930200</t>
  </si>
  <si>
    <t>Misc General Expenses</t>
  </si>
  <si>
    <t>IT1800027 Total</t>
  </si>
  <si>
    <t>2018 IT Tools O&amp;M</t>
  </si>
  <si>
    <t>DERE</t>
  </si>
  <si>
    <t>NP1900001</t>
  </si>
  <si>
    <t>Terminate Access Request</t>
  </si>
  <si>
    <t>NP1900001 Total</t>
  </si>
  <si>
    <t>NP1900003</t>
  </si>
  <si>
    <t>Install Hardware to store sensitive</t>
  </si>
  <si>
    <t>36008</t>
  </si>
  <si>
    <t>IT Hardware Maintenance</t>
  </si>
  <si>
    <t>NP1900003 Total</t>
  </si>
  <si>
    <t>2019 IT Tools O&amp;M</t>
  </si>
  <si>
    <t>Page 4 of 8</t>
  </si>
  <si>
    <t>Page 8 of 8</t>
  </si>
  <si>
    <t>MOD 26/MOD 27 Production O&amp;M</t>
  </si>
  <si>
    <t>13000</t>
  </si>
  <si>
    <t>18000</t>
  </si>
  <si>
    <t>18001</t>
  </si>
  <si>
    <t>19500</t>
  </si>
  <si>
    <t>30000</t>
  </si>
  <si>
    <t>40000</t>
  </si>
  <si>
    <t>40001</t>
  </si>
  <si>
    <t>41000</t>
  </si>
  <si>
    <t>50000</t>
  </si>
  <si>
    <t>78000</t>
  </si>
  <si>
    <t>Exempt Supplemental</t>
  </si>
  <si>
    <t>Labor Overhead Allocations</t>
  </si>
  <si>
    <t>Unproductive Labor Allocated</t>
  </si>
  <si>
    <t>Service Company Overhead</t>
  </si>
  <si>
    <t>Direct Purchases</t>
  </si>
  <si>
    <t>Travel Expenses</t>
  </si>
  <si>
    <t>Air Travel Cost</t>
  </si>
  <si>
    <t>Meals and Entertainment (50%)</t>
  </si>
  <si>
    <t>Vehicle &amp; Equip. Chargeback</t>
  </si>
  <si>
    <t>Allocated S&amp;E (Non-Labor)</t>
  </si>
  <si>
    <t>Process Long Descr CB</t>
  </si>
  <si>
    <t>TRANS VM NERC HERBICIDE</t>
  </si>
  <si>
    <t>RWT BULK BASLINE O&amp;M</t>
  </si>
  <si>
    <t>VM-T Follow Up (FERC)</t>
  </si>
  <si>
    <t>Recoverable under federal mandate statute</t>
  </si>
  <si>
    <t>0408960</t>
  </si>
  <si>
    <t>Allocated Payroll Taxes</t>
  </si>
  <si>
    <t>18250</t>
  </si>
  <si>
    <t>Allocated Payroll Tax</t>
  </si>
  <si>
    <t>0408960 Total</t>
  </si>
  <si>
    <t>0571000</t>
  </si>
  <si>
    <t>Maint Of Overhead Lines-Trans</t>
  </si>
  <si>
    <t>31003</t>
  </si>
  <si>
    <t>INFORMATIONAL ADVERTISING</t>
  </si>
  <si>
    <t>33001</t>
  </si>
  <si>
    <t>Postage &amp; Freight</t>
  </si>
  <si>
    <t>0571000 Total</t>
  </si>
  <si>
    <t>0926600</t>
  </si>
  <si>
    <t>Employee Benefits-Transferred</t>
  </si>
  <si>
    <t>0926600 Total</t>
  </si>
  <si>
    <t>RWT BULK BASLINE O&amp;M Total</t>
  </si>
  <si>
    <t>TRANS VM NERC HERBICIDE Total</t>
  </si>
  <si>
    <t>18251</t>
  </si>
  <si>
    <t>Allocated Payroll Tax-Union</t>
  </si>
  <si>
    <t>12004</t>
  </si>
  <si>
    <t>Overtime-Union</t>
  </si>
  <si>
    <t>18401</t>
  </si>
  <si>
    <t>Incentives Allocated-Union</t>
  </si>
  <si>
    <t>41001</t>
  </si>
  <si>
    <t>Overtime Meals (Non Travel)</t>
  </si>
  <si>
    <t>50002</t>
  </si>
  <si>
    <t>Vehicle &amp; Equip Chrbk (Alloc)</t>
  </si>
  <si>
    <t>18351</t>
  </si>
  <si>
    <t>Allocated Fringes-Union</t>
  </si>
  <si>
    <t>VM-T Follow Up (FERC) Total</t>
  </si>
  <si>
    <t>NERC Transmission Line Vegetation Management Costs</t>
  </si>
  <si>
    <t>February 2019 - December 2019</t>
  </si>
  <si>
    <t>Amount in Cause No. 42359 base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</si>
</sst>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6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 val="doubleAccounting"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95">
    <xf numFmtId="0" fontId="0" fillId="0" borderId="0" xfId="0"/>
    <xf numFmtId="0" fontId="9" fillId="0" borderId="0" xfId="0" applyFont="1"/>
    <xf numFmtId="0" fontId="10" fillId="0" borderId="0" xfId="2" applyFont="1"/>
    <xf numFmtId="0" fontId="10" fillId="0" borderId="0" xfId="2" applyFont="1" applyAlignment="1">
      <alignment horizontal="right"/>
    </xf>
    <xf numFmtId="0" fontId="7" fillId="0" borderId="0" xfId="0" applyFont="1"/>
    <xf numFmtId="43" fontId="7" fillId="0" borderId="0" xfId="0" applyNumberFormat="1" applyFont="1"/>
    <xf numFmtId="44" fontId="10" fillId="0" borderId="1" xfId="5" applyNumberFormat="1" applyFont="1" applyBorder="1"/>
    <xf numFmtId="0" fontId="0" fillId="0" borderId="0" xfId="0" quotePrefix="1" applyFont="1"/>
    <xf numFmtId="0" fontId="0" fillId="0" borderId="0" xfId="0" applyFont="1"/>
    <xf numFmtId="43" fontId="0" fillId="0" borderId="0" xfId="9" applyFont="1"/>
    <xf numFmtId="43" fontId="9" fillId="0" borderId="0" xfId="9" applyFont="1"/>
    <xf numFmtId="0" fontId="9" fillId="0" borderId="0" xfId="10" applyFont="1"/>
    <xf numFmtId="0" fontId="11" fillId="0" borderId="0" xfId="2" applyFont="1"/>
    <xf numFmtId="0" fontId="11" fillId="0" borderId="0" xfId="2" quotePrefix="1" applyFont="1"/>
    <xf numFmtId="43" fontId="11" fillId="0" borderId="0" xfId="2" applyNumberFormat="1" applyFont="1"/>
    <xf numFmtId="44" fontId="11" fillId="0" borderId="1" xfId="2" applyNumberFormat="1" applyFont="1" applyBorder="1"/>
    <xf numFmtId="43" fontId="17" fillId="0" borderId="0" xfId="9" applyFont="1"/>
    <xf numFmtId="43" fontId="17" fillId="0" borderId="0" xfId="0" applyNumberFormat="1" applyFont="1"/>
    <xf numFmtId="43" fontId="18" fillId="0" borderId="0" xfId="9" applyFont="1"/>
    <xf numFmtId="43" fontId="11" fillId="0" borderId="0" xfId="9" applyFont="1"/>
    <xf numFmtId="44" fontId="19" fillId="0" borderId="0" xfId="0" applyNumberFormat="1" applyFont="1" applyBorder="1"/>
    <xf numFmtId="0" fontId="13" fillId="0" borderId="0" xfId="15" applyFont="1"/>
    <xf numFmtId="0" fontId="3" fillId="0" borderId="0" xfId="15"/>
    <xf numFmtId="0" fontId="15" fillId="0" borderId="0" xfId="15" applyFont="1" applyAlignment="1">
      <alignment horizontal="center"/>
    </xf>
    <xf numFmtId="43" fontId="0" fillId="0" borderId="0" xfId="16" applyFont="1"/>
    <xf numFmtId="43" fontId="16" fillId="0" borderId="0" xfId="16" applyFont="1"/>
    <xf numFmtId="0" fontId="3" fillId="0" borderId="0" xfId="15" applyFill="1"/>
    <xf numFmtId="10" fontId="0" fillId="0" borderId="0" xfId="17" applyNumberFormat="1" applyFont="1"/>
    <xf numFmtId="10" fontId="0" fillId="0" borderId="0" xfId="17" applyNumberFormat="1" applyFont="1" applyFill="1"/>
    <xf numFmtId="0" fontId="14" fillId="0" borderId="0" xfId="15" applyFont="1"/>
    <xf numFmtId="0" fontId="3" fillId="0" borderId="0" xfId="15" applyAlignment="1">
      <alignment horizontal="right"/>
    </xf>
    <xf numFmtId="10" fontId="15" fillId="0" borderId="0" xfId="17" applyNumberFormat="1" applyFont="1" applyFill="1"/>
    <xf numFmtId="0" fontId="20" fillId="0" borderId="0" xfId="2" applyFont="1" applyFill="1" applyAlignment="1">
      <alignment horizontal="right"/>
    </xf>
    <xf numFmtId="0" fontId="22" fillId="0" borderId="0" xfId="18" applyFont="1" applyAlignment="1">
      <alignment vertical="center"/>
    </xf>
    <xf numFmtId="0" fontId="21" fillId="0" borderId="0" xfId="18"/>
    <xf numFmtId="43" fontId="17" fillId="0" borderId="0" xfId="16" applyFont="1"/>
    <xf numFmtId="43" fontId="17" fillId="0" borderId="0" xfId="16" applyFont="1" applyFill="1"/>
    <xf numFmtId="0" fontId="2" fillId="0" borderId="0" xfId="15" applyFont="1"/>
    <xf numFmtId="0" fontId="2" fillId="0" borderId="0" xfId="15" applyFont="1" applyAlignment="1">
      <alignment horizontal="center"/>
    </xf>
    <xf numFmtId="10" fontId="17" fillId="0" borderId="0" xfId="17" applyNumberFormat="1" applyFont="1"/>
    <xf numFmtId="10" fontId="17" fillId="0" borderId="0" xfId="17" applyNumberFormat="1" applyFont="1" applyFill="1"/>
    <xf numFmtId="43" fontId="18" fillId="0" borderId="1" xfId="16" applyFont="1" applyBorder="1"/>
    <xf numFmtId="0" fontId="15" fillId="0" borderId="0" xfId="0" applyFont="1" applyAlignment="1">
      <alignment horizontal="center"/>
    </xf>
    <xf numFmtId="43" fontId="16" fillId="0" borderId="0" xfId="9" applyFont="1"/>
    <xf numFmtId="0" fontId="17" fillId="0" borderId="0" xfId="0" applyFont="1" applyAlignment="1">
      <alignment horizontal="center"/>
    </xf>
    <xf numFmtId="10" fontId="17" fillId="0" borderId="0" xfId="1" applyNumberFormat="1" applyFont="1"/>
    <xf numFmtId="0" fontId="17" fillId="0" borderId="0" xfId="0" applyFont="1"/>
    <xf numFmtId="164" fontId="17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44" fontId="7" fillId="0" borderId="0" xfId="5" applyFont="1"/>
    <xf numFmtId="0" fontId="11" fillId="0" borderId="0" xfId="19" applyFont="1"/>
    <xf numFmtId="0" fontId="13" fillId="0" borderId="0" xfId="19" applyFont="1"/>
    <xf numFmtId="0" fontId="14" fillId="0" borderId="0" xfId="19" applyFont="1"/>
    <xf numFmtId="0" fontId="15" fillId="0" borderId="0" xfId="19" applyFont="1" applyAlignment="1">
      <alignment horizontal="center"/>
    </xf>
    <xf numFmtId="43" fontId="16" fillId="0" borderId="0" xfId="20" applyFont="1"/>
    <xf numFmtId="10" fontId="15" fillId="0" borderId="0" xfId="21" applyNumberFormat="1" applyFont="1"/>
    <xf numFmtId="10" fontId="15" fillId="2" borderId="0" xfId="21" applyNumberFormat="1" applyFont="1" applyFill="1"/>
    <xf numFmtId="0" fontId="1" fillId="0" borderId="0" xfId="19" applyFont="1"/>
    <xf numFmtId="0" fontId="1" fillId="0" borderId="0" xfId="19" applyFont="1" applyAlignment="1">
      <alignment horizontal="center"/>
    </xf>
    <xf numFmtId="164" fontId="1" fillId="0" borderId="0" xfId="19" applyNumberFormat="1" applyFont="1" applyAlignment="1">
      <alignment horizontal="left"/>
    </xf>
    <xf numFmtId="0" fontId="1" fillId="0" borderId="0" xfId="19" applyFont="1" applyAlignment="1">
      <alignment horizontal="left"/>
    </xf>
    <xf numFmtId="43" fontId="1" fillId="0" borderId="0" xfId="19" applyNumberFormat="1" applyFont="1"/>
    <xf numFmtId="0" fontId="1" fillId="0" borderId="0" xfId="19" applyFont="1" applyAlignment="1">
      <alignment horizontal="right"/>
    </xf>
    <xf numFmtId="43" fontId="1" fillId="0" borderId="1" xfId="19" applyNumberFormat="1" applyFont="1" applyBorder="1"/>
    <xf numFmtId="43" fontId="17" fillId="0" borderId="0" xfId="20" applyFont="1"/>
    <xf numFmtId="43" fontId="17" fillId="2" borderId="0" xfId="20" applyFont="1" applyFill="1"/>
    <xf numFmtId="10" fontId="17" fillId="0" borderId="0" xfId="21" applyNumberFormat="1" applyFont="1"/>
    <xf numFmtId="10" fontId="17" fillId="2" borderId="0" xfId="21" applyNumberFormat="1" applyFont="1" applyFill="1"/>
    <xf numFmtId="0" fontId="14" fillId="0" borderId="0" xfId="2" applyFont="1" applyAlignment="1">
      <alignment horizontal="left"/>
    </xf>
    <xf numFmtId="0" fontId="1" fillId="0" borderId="0" xfId="2" applyFont="1"/>
    <xf numFmtId="0" fontId="1" fillId="0" borderId="0" xfId="2" quotePrefix="1" applyFont="1"/>
    <xf numFmtId="43" fontId="1" fillId="0" borderId="0" xfId="9" applyFont="1"/>
    <xf numFmtId="0" fontId="11" fillId="0" borderId="0" xfId="2" applyFont="1" applyAlignment="1">
      <alignment horizontal="right"/>
    </xf>
    <xf numFmtId="0" fontId="18" fillId="0" borderId="0" xfId="0" applyFont="1"/>
    <xf numFmtId="4" fontId="1" fillId="0" borderId="0" xfId="2" applyNumberFormat="1" applyFont="1"/>
    <xf numFmtId="4" fontId="11" fillId="0" borderId="0" xfId="2" applyNumberFormat="1" applyFont="1"/>
    <xf numFmtId="0" fontId="1" fillId="0" borderId="0" xfId="2" applyFont="1" applyAlignment="1">
      <alignment horizontal="right"/>
    </xf>
    <xf numFmtId="10" fontId="15" fillId="0" borderId="0" xfId="1" applyNumberFormat="1" applyFont="1"/>
    <xf numFmtId="10" fontId="1" fillId="0" borderId="0" xfId="1" applyNumberFormat="1" applyFont="1"/>
    <xf numFmtId="43" fontId="0" fillId="0" borderId="0" xfId="0" applyNumberFormat="1"/>
    <xf numFmtId="10" fontId="8" fillId="0" borderId="0" xfId="1" applyNumberFormat="1" applyFont="1"/>
    <xf numFmtId="0" fontId="24" fillId="0" borderId="0" xfId="22"/>
    <xf numFmtId="43" fontId="24" fillId="0" borderId="0" xfId="22" applyNumberFormat="1"/>
    <xf numFmtId="0" fontId="24" fillId="0" borderId="0" xfId="22" applyAlignment="1">
      <alignment horizontal="right"/>
    </xf>
    <xf numFmtId="43" fontId="7" fillId="0" borderId="0" xfId="9"/>
    <xf numFmtId="43" fontId="9" fillId="0" borderId="1" xfId="22" applyNumberFormat="1" applyFont="1" applyBorder="1"/>
    <xf numFmtId="0" fontId="9" fillId="0" borderId="0" xfId="22" applyFont="1"/>
    <xf numFmtId="43" fontId="9" fillId="0" borderId="0" xfId="22" applyNumberFormat="1" applyFont="1"/>
    <xf numFmtId="0" fontId="10" fillId="0" borderId="0" xfId="2" applyFont="1" applyFill="1" applyAlignment="1">
      <alignment horizontal="right"/>
    </xf>
    <xf numFmtId="43" fontId="25" fillId="0" borderId="0" xfId="0" applyNumberFormat="1" applyFont="1"/>
    <xf numFmtId="44" fontId="9" fillId="0" borderId="1" xfId="0" applyNumberFormat="1" applyFont="1" applyBorder="1"/>
    <xf numFmtId="0" fontId="7" fillId="0" borderId="0" xfId="0" applyFont="1" applyAlignment="1">
      <alignment horizontal="right"/>
    </xf>
    <xf numFmtId="43" fontId="9" fillId="0" borderId="1" xfId="0" applyNumberFormat="1" applyFont="1" applyBorder="1"/>
    <xf numFmtId="43" fontId="9" fillId="0" borderId="0" xfId="0" applyNumberFormat="1" applyFont="1"/>
    <xf numFmtId="0" fontId="0" fillId="0" borderId="0" xfId="0" applyFont="1" applyAlignment="1">
      <alignment horizontal="right"/>
    </xf>
  </cellXfs>
  <cellStyles count="23">
    <cellStyle name="Comma" xfId="9" builtinId="3"/>
    <cellStyle name="Comma 2" xfId="4" xr:uid="{00000000-0005-0000-0000-000001000000}"/>
    <cellStyle name="Comma 3" xfId="7" xr:uid="{00000000-0005-0000-0000-000002000000}"/>
    <cellStyle name="Comma 4" xfId="13" xr:uid="{00000000-0005-0000-0000-000003000000}"/>
    <cellStyle name="Comma 5" xfId="16" xr:uid="{751C4B04-0095-439E-B813-77BBFA042757}"/>
    <cellStyle name="Comma 6" xfId="20" xr:uid="{115F9CCD-20AF-4146-B21A-B68029B86C78}"/>
    <cellStyle name="Currency" xfId="5" builtinId="4"/>
    <cellStyle name="Normal" xfId="0" builtinId="0"/>
    <cellStyle name="Normal 2" xfId="2" xr:uid="{00000000-0005-0000-0000-000006000000}"/>
    <cellStyle name="Normal 2 2" xfId="18" xr:uid="{9531C7CE-1651-4E48-B4D7-E14E52F6FA55}"/>
    <cellStyle name="Normal 3" xfId="6" xr:uid="{00000000-0005-0000-0000-000007000000}"/>
    <cellStyle name="Normal 4" xfId="10" xr:uid="{00000000-0005-0000-0000-000008000000}"/>
    <cellStyle name="Normal 5" xfId="12" xr:uid="{00000000-0005-0000-0000-000009000000}"/>
    <cellStyle name="Normal 6" xfId="15" xr:uid="{63B59489-C8D6-46FA-BB56-B76C4F9AD5BA}"/>
    <cellStyle name="Normal 7" xfId="19" xr:uid="{638FE0E9-81AC-44C1-B3CD-53E1D37E0AC9}"/>
    <cellStyle name="Normal 8" xfId="22" xr:uid="{8CCA2452-12C4-440B-B6CE-5993137B82C0}"/>
    <cellStyle name="Percent" xfId="1" builtinId="5"/>
    <cellStyle name="Percent 2" xfId="3" xr:uid="{00000000-0005-0000-0000-00000B000000}"/>
    <cellStyle name="Percent 3" xfId="8" xr:uid="{00000000-0005-0000-0000-00000C000000}"/>
    <cellStyle name="Percent 4" xfId="11" xr:uid="{00000000-0005-0000-0000-00000D000000}"/>
    <cellStyle name="Percent 5" xfId="14" xr:uid="{00000000-0005-0000-0000-00000E000000}"/>
    <cellStyle name="Percent 6" xfId="17" xr:uid="{7405EF89-7C6C-4546-9440-DD6983F0F54A}"/>
    <cellStyle name="Percent 7" xfId="21" xr:uid="{7357BE19-0C68-40B0-9D77-1F74A3E5FD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5</xdr:col>
      <xdr:colOff>428855</xdr:colOff>
      <xdr:row>11</xdr:row>
      <xdr:rowOff>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CEC39F-EB3D-4B68-9C99-B0EDB4A09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1085850"/>
          <a:ext cx="1648055" cy="809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E7D9-4A24-438C-8716-257D608FECA5}">
  <dimension ref="A1:A4"/>
  <sheetViews>
    <sheetView tabSelected="1" workbookViewId="0">
      <selection activeCell="D7" sqref="D7"/>
    </sheetView>
  </sheetViews>
  <sheetFormatPr defaultColWidth="9.140625" defaultRowHeight="12.75" x14ac:dyDescent="0.2"/>
  <cols>
    <col min="1" max="16384" width="9.140625" style="34"/>
  </cols>
  <sheetData>
    <row r="1" spans="1:1" ht="15" x14ac:dyDescent="0.2">
      <c r="A1" s="33" t="s">
        <v>74</v>
      </c>
    </row>
    <row r="2" spans="1:1" ht="15" x14ac:dyDescent="0.2">
      <c r="A2" s="33" t="s">
        <v>72</v>
      </c>
    </row>
    <row r="3" spans="1:1" ht="15" x14ac:dyDescent="0.2">
      <c r="A3" s="33" t="s">
        <v>75</v>
      </c>
    </row>
    <row r="4" spans="1:1" ht="15" x14ac:dyDescent="0.2">
      <c r="A4" s="33" t="s">
        <v>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AA7DB-3CD8-4393-9A66-2F0DE2CC2893}">
  <sheetPr>
    <pageSetUpPr fitToPage="1"/>
  </sheetPr>
  <dimension ref="A1:H40"/>
  <sheetViews>
    <sheetView workbookViewId="0"/>
  </sheetViews>
  <sheetFormatPr defaultColWidth="8.7109375" defaultRowHeight="15" x14ac:dyDescent="0.25"/>
  <cols>
    <col min="1" max="1" width="23" style="22" customWidth="1"/>
    <col min="2" max="2" width="11.5703125" style="22" bestFit="1" customWidth="1"/>
    <col min="3" max="3" width="13.42578125" style="22" customWidth="1"/>
    <col min="4" max="4" width="16.85546875" style="22" bestFit="1" customWidth="1"/>
    <col min="5" max="5" width="29.85546875" style="22" bestFit="1" customWidth="1"/>
    <col min="6" max="16384" width="8.7109375" style="22"/>
  </cols>
  <sheetData>
    <row r="1" spans="1:8" x14ac:dyDescent="0.25">
      <c r="A1" s="2" t="s">
        <v>80</v>
      </c>
      <c r="E1" s="3" t="s">
        <v>75</v>
      </c>
    </row>
    <row r="2" spans="1:8" x14ac:dyDescent="0.25">
      <c r="E2" s="32" t="s">
        <v>62</v>
      </c>
    </row>
    <row r="3" spans="1:8" x14ac:dyDescent="0.25">
      <c r="E3" s="32"/>
    </row>
    <row r="4" spans="1:8" x14ac:dyDescent="0.25">
      <c r="A4" s="21" t="s">
        <v>36</v>
      </c>
    </row>
    <row r="6" spans="1:8" x14ac:dyDescent="0.25">
      <c r="B6" s="23"/>
      <c r="C6" s="23">
        <v>2018</v>
      </c>
      <c r="D6" s="23">
        <v>2019</v>
      </c>
    </row>
    <row r="7" spans="1:8" x14ac:dyDescent="0.25">
      <c r="A7" s="22" t="s">
        <v>37</v>
      </c>
      <c r="B7" s="24"/>
      <c r="C7" s="35">
        <v>74263</v>
      </c>
      <c r="D7" s="35">
        <f t="shared" ref="D7" si="0">ROUND(C7*1.03,2)</f>
        <v>76490.89</v>
      </c>
      <c r="E7" s="46" t="s">
        <v>66</v>
      </c>
    </row>
    <row r="8" spans="1:8" ht="17.25" x14ac:dyDescent="0.4">
      <c r="A8" s="22" t="s">
        <v>38</v>
      </c>
      <c r="B8" s="25"/>
      <c r="C8" s="25">
        <f t="shared" ref="C8:D8" si="1">ROUND(C7*0.115,2)</f>
        <v>8540.25</v>
      </c>
      <c r="D8" s="25">
        <f t="shared" si="1"/>
        <v>8796.4500000000007</v>
      </c>
      <c r="E8" s="46" t="s">
        <v>78</v>
      </c>
      <c r="F8" s="26"/>
      <c r="G8" s="26"/>
      <c r="H8" s="26"/>
    </row>
    <row r="9" spans="1:8" x14ac:dyDescent="0.25">
      <c r="A9" s="22" t="s">
        <v>39</v>
      </c>
      <c r="B9" s="24"/>
      <c r="C9" s="35">
        <f t="shared" ref="C9:D9" si="2">SUM(C7:C8)</f>
        <v>82803.25</v>
      </c>
      <c r="D9" s="35">
        <f t="shared" si="2"/>
        <v>85287.34</v>
      </c>
      <c r="E9" s="46"/>
    </row>
    <row r="10" spans="1:8" x14ac:dyDescent="0.25">
      <c r="B10" s="24"/>
      <c r="C10" s="35"/>
      <c r="D10" s="35"/>
      <c r="E10" s="46"/>
    </row>
    <row r="11" spans="1:8" x14ac:dyDescent="0.25">
      <c r="A11" s="22" t="s">
        <v>40</v>
      </c>
      <c r="B11" s="27"/>
      <c r="C11" s="39">
        <v>7.6499999999999999E-2</v>
      </c>
      <c r="D11" s="39">
        <v>7.6499999999999999E-2</v>
      </c>
      <c r="E11" s="46"/>
    </row>
    <row r="12" spans="1:8" x14ac:dyDescent="0.25">
      <c r="A12" s="22" t="s">
        <v>41</v>
      </c>
      <c r="B12" s="24"/>
      <c r="C12" s="35">
        <f t="shared" ref="C12:D12" si="3">ROUND(C9*C11,2)</f>
        <v>6334.45</v>
      </c>
      <c r="D12" s="35">
        <f t="shared" si="3"/>
        <v>6524.48</v>
      </c>
      <c r="E12" s="46"/>
    </row>
    <row r="13" spans="1:8" x14ac:dyDescent="0.25">
      <c r="B13" s="24"/>
      <c r="C13" s="35"/>
      <c r="D13" s="35"/>
      <c r="E13" s="46"/>
    </row>
    <row r="14" spans="1:8" x14ac:dyDescent="0.25">
      <c r="A14" s="22" t="s">
        <v>42</v>
      </c>
      <c r="B14" s="28"/>
      <c r="C14" s="40">
        <v>0.2382</v>
      </c>
      <c r="D14" s="40">
        <v>0.2399</v>
      </c>
      <c r="E14" s="46"/>
    </row>
    <row r="15" spans="1:8" x14ac:dyDescent="0.25">
      <c r="A15" s="22" t="s">
        <v>43</v>
      </c>
      <c r="B15" s="24"/>
      <c r="C15" s="35">
        <f>ROUND(C9*C14,2)</f>
        <v>19723.73</v>
      </c>
      <c r="D15" s="35">
        <f t="shared" ref="D15" si="4">ROUND(D9*D14,2)</f>
        <v>20460.43</v>
      </c>
      <c r="E15" s="46"/>
    </row>
    <row r="16" spans="1:8" x14ac:dyDescent="0.25">
      <c r="B16" s="24"/>
      <c r="C16" s="35"/>
      <c r="D16" s="35"/>
      <c r="E16" s="46"/>
    </row>
    <row r="17" spans="1:5" x14ac:dyDescent="0.25">
      <c r="A17" s="22" t="s">
        <v>44</v>
      </c>
      <c r="B17" s="24"/>
      <c r="C17" s="35">
        <f>C9+C12+C15</f>
        <v>108861.43</v>
      </c>
      <c r="D17" s="35">
        <f t="shared" ref="D17" si="5">D9+D12+D15</f>
        <v>112272.25</v>
      </c>
      <c r="E17" s="46"/>
    </row>
    <row r="18" spans="1:5" x14ac:dyDescent="0.25">
      <c r="B18" s="24"/>
      <c r="C18" s="35"/>
      <c r="D18" s="35"/>
      <c r="E18" s="46"/>
    </row>
    <row r="19" spans="1:5" x14ac:dyDescent="0.25">
      <c r="A19" s="21" t="s">
        <v>67</v>
      </c>
      <c r="C19" s="37"/>
      <c r="D19" s="37"/>
      <c r="E19" s="46"/>
    </row>
    <row r="20" spans="1:5" x14ac:dyDescent="0.25">
      <c r="A20" s="21"/>
      <c r="C20" s="37"/>
      <c r="D20" s="37"/>
      <c r="E20" s="46"/>
    </row>
    <row r="21" spans="1:5" x14ac:dyDescent="0.25">
      <c r="A21" s="29"/>
      <c r="C21" s="38"/>
      <c r="D21" s="44" t="s">
        <v>68</v>
      </c>
      <c r="E21" s="46"/>
    </row>
    <row r="22" spans="1:5" x14ac:dyDescent="0.25">
      <c r="A22" s="29"/>
      <c r="C22" s="44" t="s">
        <v>76</v>
      </c>
      <c r="D22" s="44" t="s">
        <v>69</v>
      </c>
      <c r="E22" s="46"/>
    </row>
    <row r="23" spans="1:5" x14ac:dyDescent="0.25">
      <c r="C23" s="42">
        <v>2018</v>
      </c>
      <c r="D23" s="23">
        <v>2019</v>
      </c>
      <c r="E23" s="46"/>
    </row>
    <row r="24" spans="1:5" x14ac:dyDescent="0.25">
      <c r="A24" s="22" t="s">
        <v>70</v>
      </c>
      <c r="C24" s="16">
        <v>63000</v>
      </c>
      <c r="D24" s="36">
        <f t="shared" ref="D24" si="6">ROUND(C24*1.03,2)</f>
        <v>64890</v>
      </c>
      <c r="E24" s="46" t="s">
        <v>66</v>
      </c>
    </row>
    <row r="25" spans="1:5" ht="17.25" x14ac:dyDescent="0.4">
      <c r="A25" s="22" t="s">
        <v>38</v>
      </c>
      <c r="C25" s="43">
        <f t="shared" ref="C25" si="7">ROUND(C24*0.115,2)</f>
        <v>7245</v>
      </c>
      <c r="D25" s="25">
        <f t="shared" ref="D25" si="8">ROUND(D24*0.115,2)</f>
        <v>7462.35</v>
      </c>
      <c r="E25" s="47">
        <v>0.115</v>
      </c>
    </row>
    <row r="26" spans="1:5" x14ac:dyDescent="0.25">
      <c r="A26" s="22" t="s">
        <v>39</v>
      </c>
      <c r="C26" s="16">
        <f t="shared" ref="C26" si="9">SUM(C24:C25)</f>
        <v>70245</v>
      </c>
      <c r="D26" s="35">
        <f t="shared" ref="D26" si="10">SUM(D24:D25)</f>
        <v>72352.350000000006</v>
      </c>
      <c r="E26" s="46"/>
    </row>
    <row r="27" spans="1:5" x14ac:dyDescent="0.25">
      <c r="C27" s="16"/>
      <c r="D27" s="35"/>
      <c r="E27" s="46"/>
    </row>
    <row r="28" spans="1:5" x14ac:dyDescent="0.25">
      <c r="A28" s="22" t="s">
        <v>40</v>
      </c>
      <c r="C28" s="45">
        <f>C11</f>
        <v>7.6499999999999999E-2</v>
      </c>
      <c r="D28" s="39">
        <f>D11</f>
        <v>7.6499999999999999E-2</v>
      </c>
      <c r="E28" s="46"/>
    </row>
    <row r="29" spans="1:5" x14ac:dyDescent="0.25">
      <c r="A29" s="22" t="s">
        <v>41</v>
      </c>
      <c r="C29" s="16">
        <f t="shared" ref="C29" si="11">ROUND(C26*C28,2)</f>
        <v>5373.74</v>
      </c>
      <c r="D29" s="35">
        <f t="shared" ref="D29" si="12">ROUND(D26*D28,2)</f>
        <v>5534.95</v>
      </c>
      <c r="E29" s="46"/>
    </row>
    <row r="30" spans="1:5" x14ac:dyDescent="0.25">
      <c r="C30" s="16"/>
      <c r="D30" s="35"/>
      <c r="E30" s="46"/>
    </row>
    <row r="31" spans="1:5" x14ac:dyDescent="0.25">
      <c r="A31" s="22" t="s">
        <v>42</v>
      </c>
      <c r="C31" s="45">
        <f t="shared" ref="C31" si="13">C14</f>
        <v>0.2382</v>
      </c>
      <c r="D31" s="40">
        <f t="shared" ref="D31" si="14">D14</f>
        <v>0.2399</v>
      </c>
      <c r="E31" s="46"/>
    </row>
    <row r="32" spans="1:5" x14ac:dyDescent="0.25">
      <c r="A32" s="22" t="s">
        <v>43</v>
      </c>
      <c r="C32" s="16">
        <f t="shared" ref="C32" si="15">ROUND(C26*C31,2)</f>
        <v>16732.36</v>
      </c>
      <c r="D32" s="35">
        <f t="shared" ref="D32" si="16">ROUND(D26*D31,2)</f>
        <v>17357.330000000002</v>
      </c>
      <c r="E32" s="46"/>
    </row>
    <row r="33" spans="1:6" x14ac:dyDescent="0.25">
      <c r="C33" s="16"/>
      <c r="D33" s="35"/>
      <c r="E33" s="46"/>
    </row>
    <row r="34" spans="1:6" x14ac:dyDescent="0.25">
      <c r="A34" s="22" t="s">
        <v>44</v>
      </c>
      <c r="C34" s="16">
        <f t="shared" ref="C34" si="17">C26+C29+C32</f>
        <v>92351.1</v>
      </c>
      <c r="D34" s="35">
        <f t="shared" ref="D34" si="18">D26+D29+D32</f>
        <v>95244.63</v>
      </c>
      <c r="E34" s="46"/>
    </row>
    <row r="35" spans="1:6" x14ac:dyDescent="0.25">
      <c r="B35" s="30"/>
      <c r="C35" s="31"/>
      <c r="D35" s="31">
        <v>5.3699999999999998E-2</v>
      </c>
      <c r="E35" s="46" t="s">
        <v>79</v>
      </c>
    </row>
    <row r="36" spans="1:6" x14ac:dyDescent="0.25">
      <c r="C36" s="35"/>
      <c r="D36" s="35">
        <f t="shared" ref="D36" si="19">ROUND(D34*D35,2)</f>
        <v>5114.6400000000003</v>
      </c>
      <c r="E36" s="46"/>
    </row>
    <row r="37" spans="1:6" x14ac:dyDescent="0.25">
      <c r="C37" s="35"/>
      <c r="D37" s="35"/>
      <c r="E37" s="46"/>
    </row>
    <row r="38" spans="1:6" x14ac:dyDescent="0.25">
      <c r="B38" s="30"/>
      <c r="C38" s="35"/>
      <c r="D38" s="16">
        <f>ROUND(D36*9/12,2)</f>
        <v>3835.98</v>
      </c>
      <c r="E38" s="46" t="s">
        <v>77</v>
      </c>
      <c r="F38" s="9"/>
    </row>
    <row r="39" spans="1:6" ht="15.75" thickBot="1" x14ac:dyDescent="0.3">
      <c r="C39" s="37"/>
      <c r="D39" s="37"/>
    </row>
    <row r="40" spans="1:6" ht="15.75" thickBot="1" x14ac:dyDescent="0.3">
      <c r="C40" s="41">
        <f>C17+C38</f>
        <v>108861.43</v>
      </c>
      <c r="D40" s="41">
        <f t="shared" ref="D40" si="20">D17+D38</f>
        <v>116108.23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C821-803F-415E-8F9F-C5DEE1C55586}">
  <sheetPr>
    <pageSetUpPr fitToPage="1"/>
  </sheetPr>
  <dimension ref="A1:F54"/>
  <sheetViews>
    <sheetView workbookViewId="0"/>
  </sheetViews>
  <sheetFormatPr defaultRowHeight="12.75" x14ac:dyDescent="0.2"/>
  <cols>
    <col min="1" max="1" width="31.28515625" bestFit="1" customWidth="1"/>
    <col min="2" max="2" width="15.5703125" bestFit="1" customWidth="1"/>
    <col min="3" max="3" width="26.42578125" bestFit="1" customWidth="1"/>
    <col min="4" max="4" width="21.5703125" bestFit="1" customWidth="1"/>
    <col min="5" max="5" width="30" bestFit="1" customWidth="1"/>
    <col min="6" max="6" width="12.7109375" bestFit="1" customWidth="1"/>
    <col min="7" max="16" width="23.85546875" bestFit="1" customWidth="1"/>
    <col min="17" max="18" width="12.7109375" bestFit="1" customWidth="1"/>
  </cols>
  <sheetData>
    <row r="1" spans="1:6" x14ac:dyDescent="0.2">
      <c r="A1" s="1" t="s">
        <v>182</v>
      </c>
      <c r="F1" s="3" t="s">
        <v>75</v>
      </c>
    </row>
    <row r="2" spans="1:6" x14ac:dyDescent="0.2">
      <c r="A2" s="1" t="s">
        <v>183</v>
      </c>
      <c r="F2" s="32" t="s">
        <v>63</v>
      </c>
    </row>
    <row r="4" spans="1:6" s="1" customFormat="1" x14ac:dyDescent="0.2">
      <c r="A4" s="1" t="s">
        <v>0</v>
      </c>
    </row>
    <row r="5" spans="1:6" s="1" customFormat="1" x14ac:dyDescent="0.2">
      <c r="A5" s="1" t="s">
        <v>147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35</v>
      </c>
    </row>
    <row r="6" spans="1:6" x14ac:dyDescent="0.2">
      <c r="A6" t="s">
        <v>149</v>
      </c>
      <c r="B6" t="s">
        <v>152</v>
      </c>
      <c r="C6" t="s">
        <v>153</v>
      </c>
      <c r="D6" t="s">
        <v>154</v>
      </c>
      <c r="E6" t="s">
        <v>155</v>
      </c>
      <c r="F6" s="79">
        <v>9.2200000000000006</v>
      </c>
    </row>
    <row r="7" spans="1:6" x14ac:dyDescent="0.2">
      <c r="B7" t="s">
        <v>156</v>
      </c>
      <c r="F7" s="79">
        <v>9.2200000000000006</v>
      </c>
    </row>
    <row r="8" spans="1:6" x14ac:dyDescent="0.2">
      <c r="B8" t="s">
        <v>157</v>
      </c>
      <c r="C8" t="s">
        <v>158</v>
      </c>
      <c r="D8" t="s">
        <v>128</v>
      </c>
      <c r="E8" t="s">
        <v>138</v>
      </c>
      <c r="F8" s="79">
        <v>120.65</v>
      </c>
    </row>
    <row r="9" spans="1:6" x14ac:dyDescent="0.2">
      <c r="D9" t="s">
        <v>86</v>
      </c>
      <c r="E9" t="s">
        <v>91</v>
      </c>
      <c r="F9" s="79">
        <v>804.83</v>
      </c>
    </row>
    <row r="10" spans="1:6" x14ac:dyDescent="0.2">
      <c r="D10" t="s">
        <v>131</v>
      </c>
      <c r="E10" t="s">
        <v>141</v>
      </c>
      <c r="F10" s="79">
        <v>1236.82</v>
      </c>
    </row>
    <row r="11" spans="1:6" x14ac:dyDescent="0.2">
      <c r="D11" t="s">
        <v>47</v>
      </c>
      <c r="E11" t="s">
        <v>48</v>
      </c>
      <c r="F11" s="79">
        <v>5528.9299999999994</v>
      </c>
    </row>
    <row r="12" spans="1:6" x14ac:dyDescent="0.2">
      <c r="D12" t="s">
        <v>159</v>
      </c>
      <c r="E12" t="s">
        <v>160</v>
      </c>
      <c r="F12" s="79">
        <v>595.29</v>
      </c>
    </row>
    <row r="13" spans="1:6" x14ac:dyDescent="0.2">
      <c r="D13" t="s">
        <v>161</v>
      </c>
      <c r="E13" t="s">
        <v>162</v>
      </c>
      <c r="F13" s="79">
        <v>283.87</v>
      </c>
    </row>
    <row r="14" spans="1:6" x14ac:dyDescent="0.2">
      <c r="D14" t="s">
        <v>22</v>
      </c>
      <c r="E14" t="s">
        <v>23</v>
      </c>
      <c r="F14" s="79">
        <v>0</v>
      </c>
    </row>
    <row r="15" spans="1:6" x14ac:dyDescent="0.2">
      <c r="D15" t="s">
        <v>134</v>
      </c>
      <c r="E15" t="s">
        <v>144</v>
      </c>
      <c r="F15" s="79">
        <v>375.45</v>
      </c>
    </row>
    <row r="16" spans="1:6" x14ac:dyDescent="0.2">
      <c r="D16" t="s">
        <v>45</v>
      </c>
      <c r="E16" t="s">
        <v>46</v>
      </c>
      <c r="F16" s="79">
        <v>1995988.0399999991</v>
      </c>
    </row>
    <row r="17" spans="1:6" x14ac:dyDescent="0.2">
      <c r="D17" t="s">
        <v>136</v>
      </c>
      <c r="E17" t="s">
        <v>146</v>
      </c>
      <c r="F17" s="79">
        <v>294.23999999999995</v>
      </c>
    </row>
    <row r="18" spans="1:6" x14ac:dyDescent="0.2">
      <c r="B18" t="s">
        <v>163</v>
      </c>
      <c r="F18" s="79">
        <v>2005228.1199999992</v>
      </c>
    </row>
    <row r="19" spans="1:6" x14ac:dyDescent="0.2">
      <c r="B19" t="s">
        <v>164</v>
      </c>
      <c r="C19" t="s">
        <v>165</v>
      </c>
      <c r="D19" t="s">
        <v>83</v>
      </c>
      <c r="E19" t="s">
        <v>89</v>
      </c>
      <c r="F19" s="79">
        <v>36.83</v>
      </c>
    </row>
    <row r="20" spans="1:6" x14ac:dyDescent="0.2">
      <c r="B20" t="s">
        <v>166</v>
      </c>
      <c r="F20" s="79">
        <v>36.83</v>
      </c>
    </row>
    <row r="21" spans="1:6" s="1" customFormat="1" x14ac:dyDescent="0.2">
      <c r="A21" s="1" t="s">
        <v>167</v>
      </c>
      <c r="F21" s="93">
        <v>2005274.1699999992</v>
      </c>
    </row>
    <row r="22" spans="1:6" x14ac:dyDescent="0.2">
      <c r="A22" t="s">
        <v>148</v>
      </c>
      <c r="B22" t="s">
        <v>152</v>
      </c>
      <c r="C22" t="s">
        <v>153</v>
      </c>
      <c r="D22" t="s">
        <v>154</v>
      </c>
      <c r="E22" t="s">
        <v>155</v>
      </c>
      <c r="F22" s="79">
        <v>0.76</v>
      </c>
    </row>
    <row r="23" spans="1:6" x14ac:dyDescent="0.2">
      <c r="B23" t="s">
        <v>156</v>
      </c>
      <c r="F23" s="79">
        <v>0.76</v>
      </c>
    </row>
    <row r="24" spans="1:6" x14ac:dyDescent="0.2">
      <c r="B24" t="s">
        <v>157</v>
      </c>
      <c r="C24" t="s">
        <v>158</v>
      </c>
      <c r="D24" t="s">
        <v>128</v>
      </c>
      <c r="E24" t="s">
        <v>138</v>
      </c>
      <c r="F24" s="79">
        <v>9.8699999999999992</v>
      </c>
    </row>
    <row r="25" spans="1:6" x14ac:dyDescent="0.2">
      <c r="D25" t="s">
        <v>86</v>
      </c>
      <c r="E25" t="s">
        <v>91</v>
      </c>
      <c r="F25" s="79">
        <v>-0.75</v>
      </c>
    </row>
    <row r="26" spans="1:6" x14ac:dyDescent="0.2">
      <c r="D26" t="s">
        <v>131</v>
      </c>
      <c r="E26" t="s">
        <v>141</v>
      </c>
      <c r="F26" s="79">
        <v>23.2</v>
      </c>
    </row>
    <row r="27" spans="1:6" x14ac:dyDescent="0.2">
      <c r="D27" t="s">
        <v>132</v>
      </c>
      <c r="E27" t="s">
        <v>142</v>
      </c>
      <c r="F27" s="79">
        <v>235.19</v>
      </c>
    </row>
    <row r="28" spans="1:6" x14ac:dyDescent="0.2">
      <c r="D28" t="s">
        <v>45</v>
      </c>
      <c r="E28" t="s">
        <v>46</v>
      </c>
      <c r="F28" s="79">
        <v>636477.37</v>
      </c>
    </row>
    <row r="29" spans="1:6" x14ac:dyDescent="0.2">
      <c r="D29" t="s">
        <v>32</v>
      </c>
      <c r="E29" t="s">
        <v>33</v>
      </c>
      <c r="F29" s="79">
        <v>540.12</v>
      </c>
    </row>
    <row r="30" spans="1:6" x14ac:dyDescent="0.2">
      <c r="D30" t="s">
        <v>136</v>
      </c>
      <c r="E30" t="s">
        <v>146</v>
      </c>
      <c r="F30" s="79">
        <v>26.03</v>
      </c>
    </row>
    <row r="31" spans="1:6" x14ac:dyDescent="0.2">
      <c r="B31" t="s">
        <v>163</v>
      </c>
      <c r="F31" s="79">
        <v>637311.03</v>
      </c>
    </row>
    <row r="32" spans="1:6" x14ac:dyDescent="0.2">
      <c r="B32" t="s">
        <v>164</v>
      </c>
      <c r="C32" t="s">
        <v>165</v>
      </c>
      <c r="D32" t="s">
        <v>83</v>
      </c>
      <c r="E32" t="s">
        <v>89</v>
      </c>
      <c r="F32" s="79">
        <v>3.01</v>
      </c>
    </row>
    <row r="33" spans="1:6" x14ac:dyDescent="0.2">
      <c r="B33" t="s">
        <v>166</v>
      </c>
      <c r="F33" s="79">
        <v>3.01</v>
      </c>
    </row>
    <row r="34" spans="1:6" s="1" customFormat="1" x14ac:dyDescent="0.2">
      <c r="A34" s="1" t="s">
        <v>168</v>
      </c>
      <c r="F34" s="93">
        <v>637314.80000000005</v>
      </c>
    </row>
    <row r="35" spans="1:6" x14ac:dyDescent="0.2">
      <c r="A35" t="s">
        <v>150</v>
      </c>
      <c r="B35" t="s">
        <v>152</v>
      </c>
      <c r="C35" t="s">
        <v>153</v>
      </c>
      <c r="D35" t="s">
        <v>154</v>
      </c>
      <c r="E35" t="s">
        <v>155</v>
      </c>
      <c r="F35" s="79">
        <v>3.88</v>
      </c>
    </row>
    <row r="36" spans="1:6" x14ac:dyDescent="0.2">
      <c r="D36" t="s">
        <v>169</v>
      </c>
      <c r="E36" t="s">
        <v>170</v>
      </c>
      <c r="F36" s="79">
        <v>82.86</v>
      </c>
    </row>
    <row r="37" spans="1:6" x14ac:dyDescent="0.2">
      <c r="B37" t="s">
        <v>156</v>
      </c>
      <c r="F37" s="79">
        <v>86.74</v>
      </c>
    </row>
    <row r="38" spans="1:6" x14ac:dyDescent="0.2">
      <c r="B38" t="s">
        <v>157</v>
      </c>
      <c r="C38" t="s">
        <v>158</v>
      </c>
      <c r="D38" t="s">
        <v>171</v>
      </c>
      <c r="E38" t="s">
        <v>172</v>
      </c>
      <c r="F38" s="79">
        <v>1051.6300000000001</v>
      </c>
    </row>
    <row r="39" spans="1:6" x14ac:dyDescent="0.2">
      <c r="D39" t="s">
        <v>128</v>
      </c>
      <c r="E39" t="s">
        <v>138</v>
      </c>
      <c r="F39" s="79">
        <v>50.74</v>
      </c>
    </row>
    <row r="40" spans="1:6" x14ac:dyDescent="0.2">
      <c r="D40" t="s">
        <v>173</v>
      </c>
      <c r="E40" t="s">
        <v>174</v>
      </c>
      <c r="F40" s="79">
        <v>31.55</v>
      </c>
    </row>
    <row r="41" spans="1:6" x14ac:dyDescent="0.2">
      <c r="D41" t="s">
        <v>175</v>
      </c>
      <c r="E41" t="s">
        <v>176</v>
      </c>
      <c r="F41" s="79">
        <v>39.4</v>
      </c>
    </row>
    <row r="42" spans="1:6" x14ac:dyDescent="0.2">
      <c r="D42" t="s">
        <v>135</v>
      </c>
      <c r="E42" t="s">
        <v>145</v>
      </c>
      <c r="F42" s="79">
        <v>15.09</v>
      </c>
    </row>
    <row r="43" spans="1:6" x14ac:dyDescent="0.2">
      <c r="D43" t="s">
        <v>177</v>
      </c>
      <c r="E43" t="s">
        <v>178</v>
      </c>
      <c r="F43" s="79">
        <v>135.93</v>
      </c>
    </row>
    <row r="44" spans="1:6" x14ac:dyDescent="0.2">
      <c r="D44" t="s">
        <v>45</v>
      </c>
      <c r="E44" t="s">
        <v>46</v>
      </c>
      <c r="F44" s="79">
        <v>143351.11000000002</v>
      </c>
    </row>
    <row r="45" spans="1:6" x14ac:dyDescent="0.2">
      <c r="D45" t="s">
        <v>10</v>
      </c>
      <c r="E45" t="s">
        <v>11</v>
      </c>
      <c r="F45" s="79">
        <v>51798.92</v>
      </c>
    </row>
    <row r="46" spans="1:6" x14ac:dyDescent="0.2">
      <c r="D46" t="s">
        <v>136</v>
      </c>
      <c r="E46" t="s">
        <v>146</v>
      </c>
      <c r="F46" s="79">
        <v>125.61999999999999</v>
      </c>
    </row>
    <row r="47" spans="1:6" x14ac:dyDescent="0.2">
      <c r="B47" t="s">
        <v>163</v>
      </c>
      <c r="F47" s="79">
        <v>196599.99</v>
      </c>
    </row>
    <row r="48" spans="1:6" x14ac:dyDescent="0.2">
      <c r="B48" t="s">
        <v>164</v>
      </c>
      <c r="C48" t="s">
        <v>165</v>
      </c>
      <c r="D48" t="s">
        <v>83</v>
      </c>
      <c r="E48" t="s">
        <v>89</v>
      </c>
      <c r="F48" s="79">
        <v>15.49</v>
      </c>
    </row>
    <row r="49" spans="1:6" x14ac:dyDescent="0.2">
      <c r="D49" t="s">
        <v>179</v>
      </c>
      <c r="E49" t="s">
        <v>180</v>
      </c>
      <c r="F49" s="79">
        <v>330.59</v>
      </c>
    </row>
    <row r="50" spans="1:6" x14ac:dyDescent="0.2">
      <c r="B50" t="s">
        <v>166</v>
      </c>
      <c r="F50" s="79">
        <v>346.08</v>
      </c>
    </row>
    <row r="51" spans="1:6" s="1" customFormat="1" x14ac:dyDescent="0.2">
      <c r="A51" s="1" t="s">
        <v>181</v>
      </c>
      <c r="F51" s="93">
        <v>197032.80999999997</v>
      </c>
    </row>
    <row r="52" spans="1:6" s="1" customFormat="1" x14ac:dyDescent="0.2">
      <c r="A52" s="1" t="s">
        <v>9</v>
      </c>
      <c r="F52" s="93">
        <v>2839621.7799999984</v>
      </c>
    </row>
    <row r="53" spans="1:6" ht="15.75" thickBot="1" x14ac:dyDescent="0.4">
      <c r="E53" s="94" t="s">
        <v>184</v>
      </c>
      <c r="F53" s="89">
        <v>599905.09</v>
      </c>
    </row>
    <row r="54" spans="1:6" ht="13.5" thickBot="1" x14ac:dyDescent="0.25">
      <c r="E54" s="91" t="s">
        <v>151</v>
      </c>
      <c r="F54" s="92">
        <f>F52-F53</f>
        <v>2239716.6899999985</v>
      </c>
    </row>
  </sheetData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1"/>
  <sheetViews>
    <sheetView workbookViewId="0"/>
  </sheetViews>
  <sheetFormatPr defaultColWidth="9.140625" defaultRowHeight="12.75" x14ac:dyDescent="0.2"/>
  <cols>
    <col min="1" max="1" width="27.42578125" style="4" bestFit="1" customWidth="1"/>
    <col min="2" max="2" width="31.140625" style="4" bestFit="1" customWidth="1"/>
    <col min="3" max="3" width="20.140625" style="4" bestFit="1" customWidth="1"/>
    <col min="4" max="5" width="11.28515625" style="4" customWidth="1"/>
    <col min="6" max="6" width="11.28515625" style="4" bestFit="1" customWidth="1"/>
    <col min="7" max="16384" width="9.140625" style="4"/>
  </cols>
  <sheetData>
    <row r="1" spans="1:3" x14ac:dyDescent="0.2">
      <c r="A1" s="2" t="s">
        <v>81</v>
      </c>
      <c r="C1" s="3" t="s">
        <v>75</v>
      </c>
    </row>
    <row r="2" spans="1:3" x14ac:dyDescent="0.2">
      <c r="C2" s="88" t="s">
        <v>100</v>
      </c>
    </row>
    <row r="3" spans="1:3" x14ac:dyDescent="0.2">
      <c r="A3" s="48">
        <v>2018</v>
      </c>
      <c r="C3" s="3"/>
    </row>
    <row r="4" spans="1:3" x14ac:dyDescent="0.2">
      <c r="A4" s="1" t="s">
        <v>0</v>
      </c>
    </row>
    <row r="5" spans="1:3" x14ac:dyDescent="0.2">
      <c r="A5" s="1" t="s">
        <v>5</v>
      </c>
      <c r="B5" s="1" t="s">
        <v>6</v>
      </c>
      <c r="C5" s="1" t="s">
        <v>35</v>
      </c>
    </row>
    <row r="6" spans="1:3" ht="13.5" thickBot="1" x14ac:dyDescent="0.25">
      <c r="A6" s="7" t="s">
        <v>45</v>
      </c>
      <c r="B6" s="8" t="s">
        <v>46</v>
      </c>
      <c r="C6" s="49">
        <v>313255.87</v>
      </c>
    </row>
    <row r="7" spans="1:3" ht="13.5" thickBot="1" x14ac:dyDescent="0.25">
      <c r="A7" s="1" t="s">
        <v>9</v>
      </c>
      <c r="C7" s="6">
        <f>SUM(C6:C6)</f>
        <v>313255.87</v>
      </c>
    </row>
    <row r="9" spans="1:3" x14ac:dyDescent="0.2">
      <c r="A9" s="48">
        <v>2019</v>
      </c>
      <c r="C9" s="3"/>
    </row>
    <row r="10" spans="1:3" x14ac:dyDescent="0.2">
      <c r="A10" s="1" t="s">
        <v>0</v>
      </c>
    </row>
    <row r="11" spans="1:3" x14ac:dyDescent="0.2">
      <c r="A11" s="1" t="s">
        <v>5</v>
      </c>
      <c r="B11" s="1" t="s">
        <v>6</v>
      </c>
      <c r="C11" s="1" t="s">
        <v>35</v>
      </c>
    </row>
    <row r="12" spans="1:3" x14ac:dyDescent="0.2">
      <c r="A12" t="s">
        <v>82</v>
      </c>
      <c r="B12" t="s">
        <v>88</v>
      </c>
      <c r="C12" s="49">
        <v>2025.52</v>
      </c>
    </row>
    <row r="13" spans="1:3" x14ac:dyDescent="0.2">
      <c r="A13" t="s">
        <v>83</v>
      </c>
      <c r="B13" t="s">
        <v>89</v>
      </c>
      <c r="C13" s="5">
        <v>683.1</v>
      </c>
    </row>
    <row r="14" spans="1:3" x14ac:dyDescent="0.2">
      <c r="A14" t="s">
        <v>84</v>
      </c>
      <c r="B14" t="s">
        <v>90</v>
      </c>
      <c r="C14" s="5">
        <v>212.68</v>
      </c>
    </row>
    <row r="15" spans="1:3" x14ac:dyDescent="0.2">
      <c r="A15" t="s">
        <v>85</v>
      </c>
      <c r="B15" s="4" t="s">
        <v>93</v>
      </c>
      <c r="C15" s="5">
        <v>-300.01</v>
      </c>
    </row>
    <row r="16" spans="1:3" x14ac:dyDescent="0.2">
      <c r="A16" t="s">
        <v>14</v>
      </c>
      <c r="B16" t="s">
        <v>15</v>
      </c>
      <c r="C16" s="5">
        <v>167.72</v>
      </c>
    </row>
    <row r="17" spans="1:3" x14ac:dyDescent="0.2">
      <c r="A17" t="s">
        <v>86</v>
      </c>
      <c r="B17" t="s">
        <v>91</v>
      </c>
      <c r="C17" s="5">
        <v>16.5</v>
      </c>
    </row>
    <row r="18" spans="1:3" x14ac:dyDescent="0.2">
      <c r="A18" t="s">
        <v>18</v>
      </c>
      <c r="B18" t="s">
        <v>19</v>
      </c>
      <c r="C18" s="5">
        <v>9000</v>
      </c>
    </row>
    <row r="19" spans="1:3" x14ac:dyDescent="0.2">
      <c r="A19" t="s">
        <v>10</v>
      </c>
      <c r="B19" t="s">
        <v>11</v>
      </c>
      <c r="C19" s="5">
        <v>25261.43</v>
      </c>
    </row>
    <row r="20" spans="1:3" ht="13.5" thickBot="1" x14ac:dyDescent="0.25">
      <c r="A20" t="s">
        <v>87</v>
      </c>
      <c r="B20" t="s">
        <v>92</v>
      </c>
      <c r="C20" s="5">
        <v>-1048.8699999999999</v>
      </c>
    </row>
    <row r="21" spans="1:3" ht="13.5" thickBot="1" x14ac:dyDescent="0.25">
      <c r="C21" s="6">
        <f>SUM(C12:C20)</f>
        <v>36018.07</v>
      </c>
    </row>
  </sheetData>
  <pageMargins left="0.7" right="0.7" top="0.75" bottom="0.75" header="0.3" footer="0.3"/>
  <pageSetup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5E55F-93AA-46F5-9921-6C057AECA54C}">
  <sheetPr>
    <pageSetUpPr fitToPage="1"/>
  </sheetPr>
  <dimension ref="A1:C26"/>
  <sheetViews>
    <sheetView workbookViewId="0"/>
  </sheetViews>
  <sheetFormatPr defaultColWidth="9.140625" defaultRowHeight="12.75" x14ac:dyDescent="0.2"/>
  <cols>
    <col min="1" max="1" width="27.42578125" style="4" bestFit="1" customWidth="1"/>
    <col min="2" max="2" width="31.140625" style="4" bestFit="1" customWidth="1"/>
    <col min="3" max="3" width="20.140625" style="4" bestFit="1" customWidth="1"/>
    <col min="4" max="5" width="11.28515625" style="4" customWidth="1"/>
    <col min="6" max="6" width="11.28515625" style="4" bestFit="1" customWidth="1"/>
    <col min="7" max="16384" width="9.140625" style="4"/>
  </cols>
  <sheetData>
    <row r="1" spans="1:3" x14ac:dyDescent="0.2">
      <c r="A1" s="2" t="s">
        <v>126</v>
      </c>
      <c r="C1" s="3" t="s">
        <v>75</v>
      </c>
    </row>
    <row r="2" spans="1:3" x14ac:dyDescent="0.2">
      <c r="C2" s="88" t="s">
        <v>124</v>
      </c>
    </row>
    <row r="3" spans="1:3" x14ac:dyDescent="0.2">
      <c r="A3" s="48">
        <v>2019</v>
      </c>
      <c r="C3" s="3"/>
    </row>
    <row r="4" spans="1:3" x14ac:dyDescent="0.2">
      <c r="A4" s="1" t="s">
        <v>0</v>
      </c>
    </row>
    <row r="5" spans="1:3" x14ac:dyDescent="0.2">
      <c r="A5" s="1" t="s">
        <v>5</v>
      </c>
      <c r="B5" s="1" t="s">
        <v>6</v>
      </c>
      <c r="C5" s="1" t="s">
        <v>35</v>
      </c>
    </row>
    <row r="6" spans="1:3" x14ac:dyDescent="0.2">
      <c r="A6" t="s">
        <v>82</v>
      </c>
      <c r="B6" t="s">
        <v>88</v>
      </c>
      <c r="C6" s="49">
        <v>3941.54</v>
      </c>
    </row>
    <row r="7" spans="1:3" x14ac:dyDescent="0.2">
      <c r="A7" t="s">
        <v>127</v>
      </c>
      <c r="B7" t="s">
        <v>137</v>
      </c>
      <c r="C7" s="5">
        <v>537.66</v>
      </c>
    </row>
    <row r="8" spans="1:3" x14ac:dyDescent="0.2">
      <c r="A8" t="s">
        <v>128</v>
      </c>
      <c r="B8" t="s">
        <v>138</v>
      </c>
      <c r="C8" s="5">
        <v>1.8800000000000008</v>
      </c>
    </row>
    <row r="9" spans="1:3" x14ac:dyDescent="0.2">
      <c r="A9" t="s">
        <v>129</v>
      </c>
      <c r="B9" t="s">
        <v>139</v>
      </c>
      <c r="C9" s="5">
        <v>1384.13</v>
      </c>
    </row>
    <row r="10" spans="1:3" x14ac:dyDescent="0.2">
      <c r="A10" t="s">
        <v>83</v>
      </c>
      <c r="B10" t="s">
        <v>89</v>
      </c>
      <c r="C10" s="5">
        <v>3106.71</v>
      </c>
    </row>
    <row r="11" spans="1:3" x14ac:dyDescent="0.2">
      <c r="A11" t="s">
        <v>84</v>
      </c>
      <c r="B11" t="s">
        <v>90</v>
      </c>
      <c r="C11" s="5">
        <v>1257.1299999999999</v>
      </c>
    </row>
    <row r="12" spans="1:3" x14ac:dyDescent="0.2">
      <c r="A12" t="s">
        <v>85</v>
      </c>
      <c r="B12" s="4" t="s">
        <v>93</v>
      </c>
      <c r="C12" s="5">
        <v>-3671.71</v>
      </c>
    </row>
    <row r="13" spans="1:3" x14ac:dyDescent="0.2">
      <c r="A13" t="s">
        <v>130</v>
      </c>
      <c r="B13" t="s">
        <v>140</v>
      </c>
      <c r="C13" s="5">
        <v>2153.52</v>
      </c>
    </row>
    <row r="14" spans="1:3" x14ac:dyDescent="0.2">
      <c r="A14" t="s">
        <v>86</v>
      </c>
      <c r="B14" t="s">
        <v>91</v>
      </c>
      <c r="C14" s="5">
        <v>333.36</v>
      </c>
    </row>
    <row r="15" spans="1:3" x14ac:dyDescent="0.2">
      <c r="A15" t="s">
        <v>131</v>
      </c>
      <c r="B15" t="s">
        <v>141</v>
      </c>
      <c r="C15" s="5">
        <v>7500</v>
      </c>
    </row>
    <row r="16" spans="1:3" x14ac:dyDescent="0.2">
      <c r="A16" t="s">
        <v>47</v>
      </c>
      <c r="B16" t="s">
        <v>48</v>
      </c>
      <c r="C16" s="5">
        <v>4167</v>
      </c>
    </row>
    <row r="17" spans="1:3" x14ac:dyDescent="0.2">
      <c r="A17" t="s">
        <v>22</v>
      </c>
      <c r="B17" t="s">
        <v>23</v>
      </c>
      <c r="C17" s="5">
        <v>0</v>
      </c>
    </row>
    <row r="18" spans="1:3" x14ac:dyDescent="0.2">
      <c r="A18" t="s">
        <v>132</v>
      </c>
      <c r="B18" t="s">
        <v>142</v>
      </c>
      <c r="C18" s="5">
        <v>816.23</v>
      </c>
    </row>
    <row r="19" spans="1:3" x14ac:dyDescent="0.2">
      <c r="A19" t="s">
        <v>133</v>
      </c>
      <c r="B19" t="s">
        <v>143</v>
      </c>
      <c r="C19" s="5">
        <v>1421</v>
      </c>
    </row>
    <row r="20" spans="1:3" x14ac:dyDescent="0.2">
      <c r="A20" t="s">
        <v>134</v>
      </c>
      <c r="B20" t="s">
        <v>144</v>
      </c>
      <c r="C20" s="5">
        <v>99.28</v>
      </c>
    </row>
    <row r="21" spans="1:3" x14ac:dyDescent="0.2">
      <c r="A21" t="s">
        <v>135</v>
      </c>
      <c r="B21" t="s">
        <v>145</v>
      </c>
      <c r="C21" s="5">
        <v>25.02</v>
      </c>
    </row>
    <row r="22" spans="1:3" x14ac:dyDescent="0.2">
      <c r="A22" t="s">
        <v>45</v>
      </c>
      <c r="B22" t="s">
        <v>46</v>
      </c>
      <c r="C22" s="5">
        <v>89154</v>
      </c>
    </row>
    <row r="23" spans="1:3" x14ac:dyDescent="0.2">
      <c r="A23" t="s">
        <v>10</v>
      </c>
      <c r="B23" t="s">
        <v>11</v>
      </c>
      <c r="C23" s="5">
        <v>93638.23</v>
      </c>
    </row>
    <row r="24" spans="1:3" x14ac:dyDescent="0.2">
      <c r="A24" t="s">
        <v>136</v>
      </c>
      <c r="B24" t="s">
        <v>146</v>
      </c>
      <c r="C24" s="5">
        <v>464.79000000000008</v>
      </c>
    </row>
    <row r="25" spans="1:3" ht="15.75" thickBot="1" x14ac:dyDescent="0.4">
      <c r="A25" t="s">
        <v>87</v>
      </c>
      <c r="B25" t="s">
        <v>92</v>
      </c>
      <c r="C25" s="89">
        <v>-40078.019999999997</v>
      </c>
    </row>
    <row r="26" spans="1:3" ht="13.5" thickBot="1" x14ac:dyDescent="0.25">
      <c r="C26" s="90">
        <f>SUM(C6:C25)</f>
        <v>166251.75</v>
      </c>
    </row>
  </sheetData>
  <pageMargins left="0.7" right="0.7" top="0.75" bottom="0.75" header="0.3" footer="0.3"/>
  <pageSetup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371F-34E7-4DEF-814D-6E2C83DE01B8}">
  <sheetPr>
    <pageSetUpPr fitToPage="1"/>
  </sheetPr>
  <dimension ref="A1:G80"/>
  <sheetViews>
    <sheetView workbookViewId="0">
      <selection activeCell="H13" sqref="H13"/>
    </sheetView>
  </sheetViews>
  <sheetFormatPr defaultColWidth="8.7109375" defaultRowHeight="15" x14ac:dyDescent="0.25"/>
  <cols>
    <col min="1" max="1" width="53" style="57" bestFit="1" customWidth="1"/>
    <col min="2" max="4" width="11.5703125" style="57" bestFit="1" customWidth="1"/>
    <col min="5" max="6" width="11.5703125" style="57" hidden="1" customWidth="1"/>
    <col min="7" max="16384" width="8.7109375" style="57"/>
  </cols>
  <sheetData>
    <row r="1" spans="1:7" x14ac:dyDescent="0.25">
      <c r="A1" s="50" t="s">
        <v>94</v>
      </c>
      <c r="G1" s="3" t="s">
        <v>75</v>
      </c>
    </row>
    <row r="2" spans="1:7" x14ac:dyDescent="0.25">
      <c r="G2" s="88" t="s">
        <v>59</v>
      </c>
    </row>
    <row r="3" spans="1:7" x14ac:dyDescent="0.25">
      <c r="A3" s="51" t="s">
        <v>51</v>
      </c>
    </row>
    <row r="4" spans="1:7" x14ac:dyDescent="0.25">
      <c r="A4" s="52"/>
    </row>
    <row r="5" spans="1:7" x14ac:dyDescent="0.25">
      <c r="B5" s="53">
        <v>2017</v>
      </c>
      <c r="C5" s="53">
        <v>2018</v>
      </c>
      <c r="D5" s="58"/>
      <c r="E5" s="53">
        <v>2020</v>
      </c>
      <c r="F5" s="53">
        <v>2021</v>
      </c>
    </row>
    <row r="6" spans="1:7" x14ac:dyDescent="0.25">
      <c r="A6" s="57" t="s">
        <v>52</v>
      </c>
      <c r="B6" s="64">
        <v>131040</v>
      </c>
      <c r="C6" s="64">
        <f>ROUND(B6*1.03,2)</f>
        <v>134971.20000000001</v>
      </c>
      <c r="D6" s="64"/>
      <c r="E6" s="65">
        <f t="shared" ref="E6:F6" si="0">ROUND(D6*1.03,2)</f>
        <v>0</v>
      </c>
      <c r="F6" s="65">
        <f t="shared" si="0"/>
        <v>0</v>
      </c>
      <c r="G6" s="57" t="s">
        <v>66</v>
      </c>
    </row>
    <row r="7" spans="1:7" ht="17.25" x14ac:dyDescent="0.4">
      <c r="A7" s="57" t="s">
        <v>38</v>
      </c>
      <c r="B7" s="54">
        <f>ROUND(B6*0.115,2)</f>
        <v>15069.6</v>
      </c>
      <c r="C7" s="54">
        <f t="shared" ref="C7:F7" si="1">ROUND(C6*0.115,2)</f>
        <v>15521.69</v>
      </c>
      <c r="D7" s="64"/>
      <c r="E7" s="54">
        <f t="shared" si="1"/>
        <v>0</v>
      </c>
      <c r="F7" s="54">
        <f t="shared" si="1"/>
        <v>0</v>
      </c>
      <c r="G7" s="59">
        <v>0.115</v>
      </c>
    </row>
    <row r="8" spans="1:7" x14ac:dyDescent="0.25">
      <c r="A8" s="57" t="s">
        <v>39</v>
      </c>
      <c r="B8" s="64">
        <f t="shared" ref="B8" si="2">SUM(B6:B7)</f>
        <v>146109.6</v>
      </c>
      <c r="C8" s="64">
        <f t="shared" ref="C8:F8" si="3">SUM(C6:C7)</f>
        <v>150492.89000000001</v>
      </c>
      <c r="D8" s="64"/>
      <c r="E8" s="64">
        <f t="shared" si="3"/>
        <v>0</v>
      </c>
      <c r="F8" s="64">
        <f t="shared" si="3"/>
        <v>0</v>
      </c>
    </row>
    <row r="9" spans="1:7" x14ac:dyDescent="0.25">
      <c r="B9" s="64"/>
      <c r="C9" s="64"/>
      <c r="D9" s="64"/>
      <c r="E9" s="64"/>
      <c r="F9" s="64"/>
    </row>
    <row r="10" spans="1:7" x14ac:dyDescent="0.25">
      <c r="A10" s="57" t="s">
        <v>40</v>
      </c>
      <c r="B10" s="66">
        <v>7.6499999999999999E-2</v>
      </c>
      <c r="C10" s="66">
        <v>7.6499999999999999E-2</v>
      </c>
      <c r="D10" s="66"/>
      <c r="E10" s="66">
        <v>7.6499999999999999E-2</v>
      </c>
      <c r="F10" s="66">
        <v>7.6499999999999999E-2</v>
      </c>
    </row>
    <row r="11" spans="1:7" x14ac:dyDescent="0.25">
      <c r="A11" s="57" t="s">
        <v>41</v>
      </c>
      <c r="B11" s="64">
        <f t="shared" ref="B11:F11" si="4">ROUND(B8*B10,2)</f>
        <v>11177.38</v>
      </c>
      <c r="C11" s="64">
        <f t="shared" si="4"/>
        <v>11512.71</v>
      </c>
      <c r="D11" s="64"/>
      <c r="E11" s="64">
        <f t="shared" si="4"/>
        <v>0</v>
      </c>
      <c r="F11" s="64">
        <f t="shared" si="4"/>
        <v>0</v>
      </c>
    </row>
    <row r="12" spans="1:7" x14ac:dyDescent="0.25">
      <c r="B12" s="64"/>
      <c r="C12" s="64"/>
      <c r="D12" s="64"/>
      <c r="E12" s="64"/>
      <c r="F12" s="64"/>
    </row>
    <row r="13" spans="1:7" x14ac:dyDescent="0.25">
      <c r="A13" s="57" t="s">
        <v>42</v>
      </c>
      <c r="B13" s="66">
        <v>0.21079999999999999</v>
      </c>
      <c r="C13" s="66">
        <v>0.2382</v>
      </c>
      <c r="D13" s="66"/>
      <c r="E13" s="67">
        <v>0.2382</v>
      </c>
      <c r="F13" s="67">
        <v>0.2382</v>
      </c>
    </row>
    <row r="14" spans="1:7" x14ac:dyDescent="0.25">
      <c r="A14" s="57" t="s">
        <v>43</v>
      </c>
      <c r="B14" s="64">
        <f t="shared" ref="B14" si="5">ROUND(B8*B13,2)</f>
        <v>30799.9</v>
      </c>
      <c r="C14" s="64">
        <f>ROUND(C8*C13,2)</f>
        <v>35847.410000000003</v>
      </c>
      <c r="D14" s="64"/>
      <c r="E14" s="64">
        <f t="shared" ref="E14:F14" si="6">ROUND(E8*E13,2)</f>
        <v>0</v>
      </c>
      <c r="F14" s="64">
        <f t="shared" si="6"/>
        <v>0</v>
      </c>
    </row>
    <row r="15" spans="1:7" x14ac:dyDescent="0.25">
      <c r="B15" s="64"/>
      <c r="C15" s="64"/>
      <c r="D15" s="64"/>
      <c r="E15" s="64"/>
      <c r="F15" s="64"/>
    </row>
    <row r="16" spans="1:7" x14ac:dyDescent="0.25">
      <c r="A16" s="57" t="s">
        <v>44</v>
      </c>
      <c r="B16" s="64">
        <f t="shared" ref="B16" si="7">B8+B11+B14</f>
        <v>188086.88</v>
      </c>
      <c r="C16" s="64">
        <f>C8+C11+C14</f>
        <v>197853.01</v>
      </c>
      <c r="D16" s="64"/>
      <c r="E16" s="64">
        <f t="shared" ref="E16:F16" si="8">E8+E11+E14</f>
        <v>0</v>
      </c>
      <c r="F16" s="64">
        <f t="shared" si="8"/>
        <v>0</v>
      </c>
    </row>
    <row r="17" spans="1:7" x14ac:dyDescent="0.25">
      <c r="A17" s="60" t="s">
        <v>53</v>
      </c>
      <c r="B17" s="55">
        <f>ROUND(210/365,4)</f>
        <v>0.57530000000000003</v>
      </c>
      <c r="C17" s="55">
        <f>ROUND(4/12,4)</f>
        <v>0.33329999999999999</v>
      </c>
    </row>
    <row r="18" spans="1:7" x14ac:dyDescent="0.25">
      <c r="B18" s="64">
        <f t="shared" ref="B18" si="9">ROUND(B16*B17,2)</f>
        <v>108206.38</v>
      </c>
      <c r="C18" s="64">
        <f>ROUND(C16*C17,2)</f>
        <v>65944.41</v>
      </c>
      <c r="D18" s="61"/>
      <c r="E18" s="61">
        <f t="shared" ref="E18:F18" si="10">E16</f>
        <v>0</v>
      </c>
      <c r="F18" s="61">
        <f t="shared" si="10"/>
        <v>0</v>
      </c>
    </row>
    <row r="19" spans="1:7" x14ac:dyDescent="0.25">
      <c r="B19" s="55">
        <v>4.6899999999999997E-2</v>
      </c>
      <c r="C19" s="55">
        <v>4.6699999999999998E-2</v>
      </c>
      <c r="D19" s="66"/>
      <c r="E19" s="56">
        <v>6.6199999999999995E-2</v>
      </c>
      <c r="F19" s="56">
        <v>6.6199999999999995E-2</v>
      </c>
      <c r="G19" s="57" t="s">
        <v>54</v>
      </c>
    </row>
    <row r="20" spans="1:7" x14ac:dyDescent="0.25">
      <c r="B20" s="64">
        <f>ROUND(B18*B19,2)</f>
        <v>5074.88</v>
      </c>
      <c r="C20" s="64">
        <f t="shared" ref="C20:F20" si="11">ROUND(C18*C19,2)</f>
        <v>3079.6</v>
      </c>
      <c r="D20" s="64"/>
      <c r="E20" s="64">
        <f t="shared" si="11"/>
        <v>0</v>
      </c>
      <c r="F20" s="64">
        <f t="shared" si="11"/>
        <v>0</v>
      </c>
    </row>
    <row r="21" spans="1:7" x14ac:dyDescent="0.25">
      <c r="C21" s="64"/>
      <c r="D21" s="64"/>
      <c r="E21" s="64"/>
      <c r="F21" s="64"/>
    </row>
    <row r="22" spans="1:7" x14ac:dyDescent="0.25">
      <c r="A22" s="51" t="s">
        <v>55</v>
      </c>
    </row>
    <row r="24" spans="1:7" x14ac:dyDescent="0.25">
      <c r="B24" s="53">
        <v>2017</v>
      </c>
      <c r="C24" s="53">
        <v>2018</v>
      </c>
      <c r="D24" s="53">
        <v>2019</v>
      </c>
      <c r="E24" s="53">
        <v>2020</v>
      </c>
      <c r="F24" s="53">
        <v>2021</v>
      </c>
    </row>
    <row r="25" spans="1:7" x14ac:dyDescent="0.25">
      <c r="A25" s="57" t="s">
        <v>56</v>
      </c>
      <c r="B25" s="64">
        <f>C25/1.03</f>
        <v>80105.825242718449</v>
      </c>
      <c r="C25" s="64">
        <v>82509</v>
      </c>
      <c r="D25" s="64">
        <f t="shared" ref="D25:F25" si="12">ROUND(C25*1.03,2)</f>
        <v>84984.27</v>
      </c>
      <c r="E25" s="64">
        <f t="shared" si="12"/>
        <v>87533.8</v>
      </c>
      <c r="F25" s="64">
        <f t="shared" si="12"/>
        <v>90159.81</v>
      </c>
      <c r="G25" s="57" t="s">
        <v>66</v>
      </c>
    </row>
    <row r="26" spans="1:7" ht="17.25" x14ac:dyDescent="0.4">
      <c r="A26" s="57" t="s">
        <v>38</v>
      </c>
      <c r="B26" s="54">
        <f>ROUND(B25*0.115,2)</f>
        <v>9212.17</v>
      </c>
      <c r="C26" s="54">
        <f t="shared" ref="C26:F26" si="13">ROUND(C25*0.115,2)</f>
        <v>9488.5400000000009</v>
      </c>
      <c r="D26" s="54">
        <f t="shared" si="13"/>
        <v>9773.19</v>
      </c>
      <c r="E26" s="54">
        <f t="shared" si="13"/>
        <v>10066.39</v>
      </c>
      <c r="F26" s="54">
        <f t="shared" si="13"/>
        <v>10368.379999999999</v>
      </c>
      <c r="G26" s="59">
        <v>0.115</v>
      </c>
    </row>
    <row r="27" spans="1:7" x14ac:dyDescent="0.25">
      <c r="A27" s="57" t="s">
        <v>39</v>
      </c>
      <c r="B27" s="64">
        <f t="shared" ref="B27:F27" si="14">SUM(B25:B26)</f>
        <v>89317.995242718447</v>
      </c>
      <c r="C27" s="64">
        <f t="shared" si="14"/>
        <v>91997.540000000008</v>
      </c>
      <c r="D27" s="64">
        <f t="shared" si="14"/>
        <v>94757.46</v>
      </c>
      <c r="E27" s="64">
        <f t="shared" si="14"/>
        <v>97600.19</v>
      </c>
      <c r="F27" s="64">
        <f t="shared" si="14"/>
        <v>100528.19</v>
      </c>
    </row>
    <row r="28" spans="1:7" x14ac:dyDescent="0.25">
      <c r="B28" s="64"/>
      <c r="C28" s="64"/>
      <c r="D28" s="64"/>
      <c r="E28" s="64"/>
      <c r="F28" s="64"/>
    </row>
    <row r="29" spans="1:7" x14ac:dyDescent="0.25">
      <c r="A29" s="57" t="s">
        <v>40</v>
      </c>
      <c r="B29" s="66">
        <v>7.6499999999999999E-2</v>
      </c>
      <c r="C29" s="66">
        <v>7.6499999999999999E-2</v>
      </c>
      <c r="D29" s="66">
        <v>7.6499999999999999E-2</v>
      </c>
      <c r="E29" s="66">
        <v>7.6499999999999999E-2</v>
      </c>
      <c r="F29" s="66">
        <v>7.6499999999999999E-2</v>
      </c>
    </row>
    <row r="30" spans="1:7" x14ac:dyDescent="0.25">
      <c r="A30" s="57" t="s">
        <v>41</v>
      </c>
      <c r="B30" s="64">
        <f t="shared" ref="B30:F30" si="15">ROUND(B27*B29,2)</f>
        <v>6832.83</v>
      </c>
      <c r="C30" s="64">
        <f t="shared" si="15"/>
        <v>7037.81</v>
      </c>
      <c r="D30" s="64">
        <f t="shared" si="15"/>
        <v>7248.95</v>
      </c>
      <c r="E30" s="64">
        <f t="shared" si="15"/>
        <v>7466.41</v>
      </c>
      <c r="F30" s="64">
        <f t="shared" si="15"/>
        <v>7690.41</v>
      </c>
    </row>
    <row r="31" spans="1:7" x14ac:dyDescent="0.25">
      <c r="B31" s="64"/>
      <c r="C31" s="64"/>
      <c r="D31" s="64"/>
      <c r="E31" s="64"/>
      <c r="F31" s="64"/>
    </row>
    <row r="32" spans="1:7" x14ac:dyDescent="0.25">
      <c r="A32" s="57" t="s">
        <v>42</v>
      </c>
      <c r="B32" s="66">
        <v>0.21079999999999999</v>
      </c>
      <c r="C32" s="66">
        <v>0.2382</v>
      </c>
      <c r="D32" s="66">
        <v>0.2399</v>
      </c>
      <c r="E32" s="67">
        <v>0.2382</v>
      </c>
      <c r="F32" s="67">
        <v>0.2382</v>
      </c>
    </row>
    <row r="33" spans="1:7" x14ac:dyDescent="0.25">
      <c r="A33" s="57" t="s">
        <v>43</v>
      </c>
      <c r="B33" s="64">
        <f t="shared" ref="B33" si="16">ROUND(B27*B32,2)</f>
        <v>18828.23</v>
      </c>
      <c r="C33" s="64">
        <f>ROUND(C27*C32,2)</f>
        <v>21913.81</v>
      </c>
      <c r="D33" s="64">
        <f t="shared" ref="D33:F33" si="17">ROUND(D27*D32,2)</f>
        <v>22732.31</v>
      </c>
      <c r="E33" s="64">
        <f t="shared" si="17"/>
        <v>23248.37</v>
      </c>
      <c r="F33" s="64">
        <f t="shared" si="17"/>
        <v>23945.81</v>
      </c>
    </row>
    <row r="34" spans="1:7" x14ac:dyDescent="0.25">
      <c r="B34" s="64"/>
      <c r="C34" s="64"/>
      <c r="D34" s="64"/>
      <c r="E34" s="64"/>
      <c r="F34" s="64"/>
    </row>
    <row r="35" spans="1:7" x14ac:dyDescent="0.25">
      <c r="A35" s="57" t="s">
        <v>44</v>
      </c>
      <c r="B35" s="64">
        <f t="shared" ref="B35" si="18">B27+B30+B33</f>
        <v>114979.05524271844</v>
      </c>
      <c r="C35" s="64">
        <f>C27+C30+C33</f>
        <v>120949.16</v>
      </c>
      <c r="D35" s="64">
        <f t="shared" ref="D35:F35" si="19">D27+D30+D33</f>
        <v>124738.72</v>
      </c>
      <c r="E35" s="64">
        <f t="shared" si="19"/>
        <v>128314.97</v>
      </c>
      <c r="F35" s="64">
        <f t="shared" si="19"/>
        <v>132164.41</v>
      </c>
    </row>
    <row r="36" spans="1:7" x14ac:dyDescent="0.25">
      <c r="A36" s="57" t="s">
        <v>57</v>
      </c>
      <c r="B36" s="55">
        <f>ROUND(4/12,4)</f>
        <v>0.33329999999999999</v>
      </c>
    </row>
    <row r="37" spans="1:7" x14ac:dyDescent="0.25">
      <c r="B37" s="64">
        <f t="shared" ref="B37" si="20">ROUND(B35*B36,2)</f>
        <v>38322.519999999997</v>
      </c>
      <c r="C37" s="61">
        <f>C35</f>
        <v>120949.16</v>
      </c>
      <c r="D37" s="61">
        <f>D35</f>
        <v>124738.72</v>
      </c>
    </row>
    <row r="38" spans="1:7" x14ac:dyDescent="0.25">
      <c r="B38" s="55">
        <v>4.6899999999999997E-2</v>
      </c>
      <c r="C38" s="55">
        <v>4.6699999999999998E-2</v>
      </c>
      <c r="D38" s="55">
        <v>4.0399999999999998E-2</v>
      </c>
      <c r="E38" s="64"/>
      <c r="F38" s="64"/>
      <c r="G38" s="57" t="s">
        <v>54</v>
      </c>
    </row>
    <row r="39" spans="1:7" x14ac:dyDescent="0.25">
      <c r="B39" s="64">
        <f>ROUND(B37*B38,2)</f>
        <v>1797.33</v>
      </c>
      <c r="C39" s="64">
        <f>ROUND(C37*C38,2)</f>
        <v>5648.33</v>
      </c>
      <c r="D39" s="64">
        <f>ROUND(D37*D38,2)</f>
        <v>5039.4399999999996</v>
      </c>
      <c r="E39" s="64"/>
      <c r="F39" s="64"/>
    </row>
    <row r="40" spans="1:7" x14ac:dyDescent="0.25">
      <c r="B40" s="64"/>
      <c r="C40" s="64"/>
      <c r="D40" s="64"/>
      <c r="E40" s="64"/>
      <c r="F40" s="64"/>
    </row>
    <row r="41" spans="1:7" x14ac:dyDescent="0.25">
      <c r="A41" s="51" t="s">
        <v>51</v>
      </c>
    </row>
    <row r="42" spans="1:7" x14ac:dyDescent="0.25">
      <c r="A42" s="52"/>
    </row>
    <row r="43" spans="1:7" x14ac:dyDescent="0.25">
      <c r="B43" s="53"/>
      <c r="C43" s="53">
        <v>2018</v>
      </c>
      <c r="D43" s="53">
        <v>2019</v>
      </c>
      <c r="E43" s="53">
        <v>2020</v>
      </c>
      <c r="F43" s="53">
        <v>2021</v>
      </c>
    </row>
    <row r="44" spans="1:7" x14ac:dyDescent="0.25">
      <c r="A44" s="57" t="s">
        <v>95</v>
      </c>
      <c r="B44" s="64"/>
      <c r="C44" s="64">
        <v>112000</v>
      </c>
      <c r="D44" s="64">
        <f t="shared" ref="D44:F44" si="21">ROUND(C44*1.03,2)</f>
        <v>115360</v>
      </c>
      <c r="E44" s="65">
        <f t="shared" si="21"/>
        <v>118820.8</v>
      </c>
      <c r="F44" s="65">
        <f t="shared" si="21"/>
        <v>122385.42</v>
      </c>
      <c r="G44" s="57" t="s">
        <v>66</v>
      </c>
    </row>
    <row r="45" spans="1:7" ht="17.25" x14ac:dyDescent="0.4">
      <c r="A45" s="57" t="s">
        <v>38</v>
      </c>
      <c r="B45" s="54"/>
      <c r="C45" s="54">
        <f t="shared" ref="C45:F45" si="22">ROUND(C44*0.115,2)</f>
        <v>12880</v>
      </c>
      <c r="D45" s="54">
        <f t="shared" si="22"/>
        <v>13266.4</v>
      </c>
      <c r="E45" s="54">
        <f t="shared" si="22"/>
        <v>13664.39</v>
      </c>
      <c r="F45" s="54">
        <f t="shared" si="22"/>
        <v>14074.32</v>
      </c>
      <c r="G45" s="59">
        <v>0.115</v>
      </c>
    </row>
    <row r="46" spans="1:7" x14ac:dyDescent="0.25">
      <c r="A46" s="57" t="s">
        <v>39</v>
      </c>
      <c r="B46" s="64"/>
      <c r="C46" s="64">
        <f t="shared" ref="C46:F46" si="23">SUM(C44:C45)</f>
        <v>124880</v>
      </c>
      <c r="D46" s="64">
        <f t="shared" si="23"/>
        <v>128626.4</v>
      </c>
      <c r="E46" s="64">
        <f t="shared" si="23"/>
        <v>132485.19</v>
      </c>
      <c r="F46" s="64">
        <f t="shared" si="23"/>
        <v>136459.74</v>
      </c>
    </row>
    <row r="47" spans="1:7" x14ac:dyDescent="0.25">
      <c r="B47" s="64"/>
      <c r="C47" s="64"/>
      <c r="D47" s="64"/>
      <c r="E47" s="64"/>
      <c r="F47" s="64"/>
    </row>
    <row r="48" spans="1:7" x14ac:dyDescent="0.25">
      <c r="A48" s="57" t="s">
        <v>40</v>
      </c>
      <c r="B48" s="66"/>
      <c r="C48" s="66">
        <v>7.6499999999999999E-2</v>
      </c>
      <c r="D48" s="66">
        <v>7.6499999999999999E-2</v>
      </c>
      <c r="E48" s="66">
        <v>7.6499999999999999E-2</v>
      </c>
      <c r="F48" s="66">
        <v>7.6499999999999999E-2</v>
      </c>
    </row>
    <row r="49" spans="1:7" x14ac:dyDescent="0.25">
      <c r="A49" s="57" t="s">
        <v>41</v>
      </c>
      <c r="B49" s="64"/>
      <c r="C49" s="64">
        <f t="shared" ref="C49:F49" si="24">ROUND(C46*C48,2)</f>
        <v>9553.32</v>
      </c>
      <c r="D49" s="64">
        <f t="shared" si="24"/>
        <v>9839.92</v>
      </c>
      <c r="E49" s="64">
        <f t="shared" si="24"/>
        <v>10135.120000000001</v>
      </c>
      <c r="F49" s="64">
        <f t="shared" si="24"/>
        <v>10439.17</v>
      </c>
    </row>
    <row r="50" spans="1:7" x14ac:dyDescent="0.25">
      <c r="B50" s="64"/>
      <c r="C50" s="64"/>
      <c r="D50" s="64"/>
      <c r="E50" s="64"/>
      <c r="F50" s="64"/>
    </row>
    <row r="51" spans="1:7" x14ac:dyDescent="0.25">
      <c r="A51" s="57" t="s">
        <v>42</v>
      </c>
      <c r="B51" s="66"/>
      <c r="C51" s="66">
        <v>0.2382</v>
      </c>
      <c r="D51" s="66">
        <v>0.2399</v>
      </c>
      <c r="E51" s="67">
        <v>0.2382</v>
      </c>
      <c r="F51" s="67">
        <v>0.2382</v>
      </c>
    </row>
    <row r="52" spans="1:7" x14ac:dyDescent="0.25">
      <c r="A52" s="57" t="s">
        <v>43</v>
      </c>
      <c r="B52" s="64"/>
      <c r="C52" s="64">
        <f>ROUND(C46*C51,2)</f>
        <v>29746.42</v>
      </c>
      <c r="D52" s="64">
        <f t="shared" ref="D52:F52" si="25">ROUND(D46*D51,2)</f>
        <v>30857.47</v>
      </c>
      <c r="E52" s="64">
        <f t="shared" si="25"/>
        <v>31557.97</v>
      </c>
      <c r="F52" s="64">
        <f t="shared" si="25"/>
        <v>32504.71</v>
      </c>
    </row>
    <row r="53" spans="1:7" x14ac:dyDescent="0.25">
      <c r="B53" s="64"/>
      <c r="C53" s="64"/>
      <c r="D53" s="64"/>
      <c r="E53" s="64"/>
      <c r="F53" s="64"/>
    </row>
    <row r="54" spans="1:7" x14ac:dyDescent="0.25">
      <c r="A54" s="57" t="s">
        <v>44</v>
      </c>
      <c r="B54" s="64"/>
      <c r="C54" s="64">
        <f>C46+C49+C52</f>
        <v>164179.74</v>
      </c>
      <c r="D54" s="64">
        <f t="shared" ref="D54:F54" si="26">D46+D49+D52</f>
        <v>169323.79</v>
      </c>
      <c r="E54" s="64">
        <f t="shared" si="26"/>
        <v>174178.28</v>
      </c>
      <c r="F54" s="64">
        <f t="shared" si="26"/>
        <v>179403.62</v>
      </c>
    </row>
    <row r="55" spans="1:7" x14ac:dyDescent="0.25">
      <c r="A55" s="60" t="s">
        <v>96</v>
      </c>
      <c r="C55" s="55">
        <f>ROUND(225/365,4)</f>
        <v>0.61639999999999995</v>
      </c>
    </row>
    <row r="56" spans="1:7" x14ac:dyDescent="0.25">
      <c r="B56" s="62"/>
      <c r="C56" s="64">
        <f>ROUND(C54*C55,2)</f>
        <v>101200.39</v>
      </c>
      <c r="D56" s="61">
        <f>D54</f>
        <v>169323.79</v>
      </c>
      <c r="E56" s="61">
        <f t="shared" ref="E56:F56" si="27">E54</f>
        <v>174178.28</v>
      </c>
      <c r="F56" s="61">
        <f t="shared" si="27"/>
        <v>179403.62</v>
      </c>
    </row>
    <row r="57" spans="1:7" x14ac:dyDescent="0.25">
      <c r="B57" s="62"/>
      <c r="C57" s="55">
        <v>4.6699999999999998E-2</v>
      </c>
      <c r="D57" s="55">
        <v>4.0399999999999998E-2</v>
      </c>
      <c r="E57" s="56">
        <v>6.6199999999999995E-2</v>
      </c>
      <c r="F57" s="56">
        <v>6.6199999999999995E-2</v>
      </c>
      <c r="G57" s="57" t="s">
        <v>54</v>
      </c>
    </row>
    <row r="58" spans="1:7" x14ac:dyDescent="0.25">
      <c r="C58" s="64">
        <f t="shared" ref="C58:F58" si="28">ROUND(C56*C57,2)</f>
        <v>4726.0600000000004</v>
      </c>
      <c r="D58" s="64">
        <f t="shared" si="28"/>
        <v>6840.68</v>
      </c>
      <c r="E58" s="64">
        <f t="shared" si="28"/>
        <v>11530.6</v>
      </c>
      <c r="F58" s="64">
        <f t="shared" si="28"/>
        <v>11876.52</v>
      </c>
    </row>
    <row r="59" spans="1:7" x14ac:dyDescent="0.25">
      <c r="C59" s="64"/>
      <c r="D59" s="64"/>
      <c r="E59" s="64"/>
      <c r="F59" s="64"/>
    </row>
    <row r="60" spans="1:7" x14ac:dyDescent="0.25">
      <c r="A60" s="51" t="s">
        <v>97</v>
      </c>
    </row>
    <row r="61" spans="1:7" x14ac:dyDescent="0.25">
      <c r="A61" s="52"/>
    </row>
    <row r="62" spans="1:7" x14ac:dyDescent="0.25">
      <c r="B62" s="53"/>
      <c r="C62" s="53">
        <v>2018</v>
      </c>
      <c r="D62" s="53">
        <v>2019</v>
      </c>
      <c r="E62" s="53">
        <v>2020</v>
      </c>
      <c r="F62" s="53">
        <v>2021</v>
      </c>
    </row>
    <row r="63" spans="1:7" x14ac:dyDescent="0.25">
      <c r="A63" s="57" t="s">
        <v>98</v>
      </c>
      <c r="B63" s="64"/>
      <c r="C63" s="64">
        <v>128000</v>
      </c>
      <c r="D63" s="64">
        <f t="shared" ref="D63:F63" si="29">ROUND(C63*1.03,2)</f>
        <v>131840</v>
      </c>
      <c r="E63" s="65">
        <f t="shared" si="29"/>
        <v>135795.20000000001</v>
      </c>
      <c r="F63" s="65">
        <f t="shared" si="29"/>
        <v>139869.06</v>
      </c>
      <c r="G63" s="57" t="s">
        <v>66</v>
      </c>
    </row>
    <row r="64" spans="1:7" ht="17.25" x14ac:dyDescent="0.4">
      <c r="A64" s="57" t="s">
        <v>38</v>
      </c>
      <c r="B64" s="54"/>
      <c r="C64" s="54">
        <f t="shared" ref="C64:F64" si="30">ROUND(C63*0.115,2)</f>
        <v>14720</v>
      </c>
      <c r="D64" s="54">
        <f t="shared" si="30"/>
        <v>15161.6</v>
      </c>
      <c r="E64" s="54">
        <f t="shared" si="30"/>
        <v>15616.45</v>
      </c>
      <c r="F64" s="54">
        <f t="shared" si="30"/>
        <v>16084.94</v>
      </c>
      <c r="G64" s="59">
        <v>0.115</v>
      </c>
    </row>
    <row r="65" spans="1:7" x14ac:dyDescent="0.25">
      <c r="A65" s="57" t="s">
        <v>39</v>
      </c>
      <c r="B65" s="64"/>
      <c r="C65" s="64">
        <f t="shared" ref="C65:F65" si="31">SUM(C63:C64)</f>
        <v>142720</v>
      </c>
      <c r="D65" s="64">
        <f t="shared" si="31"/>
        <v>147001.60000000001</v>
      </c>
      <c r="E65" s="64">
        <f t="shared" si="31"/>
        <v>151411.65000000002</v>
      </c>
      <c r="F65" s="64">
        <f t="shared" si="31"/>
        <v>155954</v>
      </c>
    </row>
    <row r="66" spans="1:7" x14ac:dyDescent="0.25">
      <c r="B66" s="64"/>
      <c r="C66" s="64"/>
      <c r="D66" s="64"/>
      <c r="E66" s="64"/>
      <c r="F66" s="64"/>
    </row>
    <row r="67" spans="1:7" x14ac:dyDescent="0.25">
      <c r="A67" s="57" t="s">
        <v>40</v>
      </c>
      <c r="B67" s="66"/>
      <c r="C67" s="66">
        <v>7.6499999999999999E-2</v>
      </c>
      <c r="D67" s="66">
        <v>7.6499999999999999E-2</v>
      </c>
      <c r="E67" s="66">
        <v>7.6499999999999999E-2</v>
      </c>
      <c r="F67" s="66">
        <v>7.6499999999999999E-2</v>
      </c>
    </row>
    <row r="68" spans="1:7" x14ac:dyDescent="0.25">
      <c r="A68" s="57" t="s">
        <v>41</v>
      </c>
      <c r="B68" s="64"/>
      <c r="C68" s="64">
        <f t="shared" ref="C68:F68" si="32">ROUND(C65*C67,2)</f>
        <v>10918.08</v>
      </c>
      <c r="D68" s="64">
        <f t="shared" si="32"/>
        <v>11245.62</v>
      </c>
      <c r="E68" s="64">
        <f t="shared" si="32"/>
        <v>11582.99</v>
      </c>
      <c r="F68" s="64">
        <f t="shared" si="32"/>
        <v>11930.48</v>
      </c>
    </row>
    <row r="69" spans="1:7" x14ac:dyDescent="0.25">
      <c r="B69" s="64"/>
      <c r="C69" s="64"/>
      <c r="D69" s="64"/>
      <c r="E69" s="64"/>
      <c r="F69" s="64"/>
    </row>
    <row r="70" spans="1:7" x14ac:dyDescent="0.25">
      <c r="A70" s="57" t="s">
        <v>42</v>
      </c>
      <c r="B70" s="66"/>
      <c r="C70" s="66">
        <v>0.2382</v>
      </c>
      <c r="D70" s="66">
        <v>0.2399</v>
      </c>
      <c r="E70" s="67">
        <v>0.2382</v>
      </c>
      <c r="F70" s="67">
        <v>0.2382</v>
      </c>
    </row>
    <row r="71" spans="1:7" x14ac:dyDescent="0.25">
      <c r="A71" s="57" t="s">
        <v>43</v>
      </c>
      <c r="B71" s="64"/>
      <c r="C71" s="64">
        <f>ROUND(C65*C70,2)</f>
        <v>33995.9</v>
      </c>
      <c r="D71" s="64">
        <f t="shared" ref="D71:F71" si="33">ROUND(D65*D70,2)</f>
        <v>35265.68</v>
      </c>
      <c r="E71" s="64">
        <f t="shared" si="33"/>
        <v>36066.26</v>
      </c>
      <c r="F71" s="64">
        <f t="shared" si="33"/>
        <v>37148.239999999998</v>
      </c>
    </row>
    <row r="72" spans="1:7" x14ac:dyDescent="0.25">
      <c r="B72" s="64"/>
      <c r="C72" s="64"/>
      <c r="D72" s="64"/>
      <c r="E72" s="64"/>
      <c r="F72" s="64"/>
    </row>
    <row r="73" spans="1:7" x14ac:dyDescent="0.25">
      <c r="A73" s="57" t="s">
        <v>44</v>
      </c>
      <c r="B73" s="64"/>
      <c r="C73" s="64">
        <f>C65+C68+C71</f>
        <v>187633.97999999998</v>
      </c>
      <c r="D73" s="64">
        <f t="shared" ref="D73:F73" si="34">D65+D68+D71</f>
        <v>193512.9</v>
      </c>
      <c r="E73" s="64">
        <f t="shared" si="34"/>
        <v>199060.90000000002</v>
      </c>
      <c r="F73" s="64">
        <f t="shared" si="34"/>
        <v>205032.72</v>
      </c>
    </row>
    <row r="74" spans="1:7" x14ac:dyDescent="0.25">
      <c r="A74" s="60" t="s">
        <v>99</v>
      </c>
      <c r="C74" s="55">
        <f>ROUND(211/365,4)</f>
        <v>0.57809999999999995</v>
      </c>
    </row>
    <row r="75" spans="1:7" x14ac:dyDescent="0.25">
      <c r="B75" s="62"/>
      <c r="C75" s="64">
        <f>ROUND(C73*C74,2)</f>
        <v>108471.2</v>
      </c>
      <c r="D75" s="61">
        <f>D73</f>
        <v>193512.9</v>
      </c>
      <c r="E75" s="61">
        <f t="shared" ref="E75:F75" si="35">E73</f>
        <v>199060.90000000002</v>
      </c>
      <c r="F75" s="61">
        <f t="shared" si="35"/>
        <v>205032.72</v>
      </c>
    </row>
    <row r="76" spans="1:7" x14ac:dyDescent="0.25">
      <c r="B76" s="62"/>
      <c r="C76" s="55">
        <v>4.6699999999999998E-2</v>
      </c>
      <c r="D76" s="55">
        <v>4.0399999999999998E-2</v>
      </c>
      <c r="E76" s="56">
        <v>6.6199999999999995E-2</v>
      </c>
      <c r="F76" s="56">
        <v>6.6199999999999995E-2</v>
      </c>
      <c r="G76" s="57" t="s">
        <v>54</v>
      </c>
    </row>
    <row r="77" spans="1:7" x14ac:dyDescent="0.25">
      <c r="C77" s="64">
        <f t="shared" ref="C77:F77" si="36">ROUND(C75*C76,2)</f>
        <v>5065.6099999999997</v>
      </c>
      <c r="D77" s="64">
        <f t="shared" si="36"/>
        <v>7817.92</v>
      </c>
      <c r="E77" s="64">
        <f t="shared" si="36"/>
        <v>13177.83</v>
      </c>
      <c r="F77" s="64">
        <f t="shared" si="36"/>
        <v>13573.17</v>
      </c>
    </row>
    <row r="78" spans="1:7" ht="15.75" thickBot="1" x14ac:dyDescent="0.3"/>
    <row r="79" spans="1:7" ht="15.75" thickBot="1" x14ac:dyDescent="0.3">
      <c r="A79" s="57" t="s">
        <v>58</v>
      </c>
      <c r="B79" s="61">
        <f>B20+B39+B58+B77</f>
        <v>6872.21</v>
      </c>
      <c r="C79" s="63">
        <f t="shared" ref="C79:D79" si="37">C20+C39+C58+C77</f>
        <v>18519.600000000002</v>
      </c>
      <c r="D79" s="63">
        <f t="shared" si="37"/>
        <v>19698.04</v>
      </c>
      <c r="E79" s="63">
        <f>E35+E58</f>
        <v>139845.57</v>
      </c>
      <c r="F79" s="63">
        <f>F35+F58</f>
        <v>144040.93</v>
      </c>
    </row>
    <row r="80" spans="1:7" x14ac:dyDescent="0.25">
      <c r="E80" s="61"/>
      <c r="F80" s="61"/>
    </row>
  </sheetData>
  <pageMargins left="0.7" right="0.7" top="0.75" bottom="0.75" header="0.3" footer="0.3"/>
  <pageSetup paperSize="5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0"/>
  <sheetViews>
    <sheetView workbookViewId="0"/>
  </sheetViews>
  <sheetFormatPr defaultColWidth="9.140625" defaultRowHeight="15" x14ac:dyDescent="0.25"/>
  <cols>
    <col min="1" max="1" width="26.42578125" style="69" bestFit="1" customWidth="1"/>
    <col min="2" max="2" width="23.42578125" style="69" bestFit="1" customWidth="1"/>
    <col min="3" max="3" width="18" style="69" bestFit="1" customWidth="1"/>
    <col min="4" max="4" width="26.85546875" style="69" bestFit="1" customWidth="1"/>
    <col min="5" max="5" width="13.140625" style="69" customWidth="1"/>
    <col min="6" max="7" width="12.7109375" style="69" bestFit="1" customWidth="1"/>
    <col min="8" max="16384" width="9.140625" style="69"/>
  </cols>
  <sheetData>
    <row r="1" spans="1:7" x14ac:dyDescent="0.25">
      <c r="A1" s="12" t="s">
        <v>101</v>
      </c>
      <c r="G1" s="72" t="s">
        <v>75</v>
      </c>
    </row>
    <row r="2" spans="1:7" x14ac:dyDescent="0.25">
      <c r="A2" s="12"/>
      <c r="G2" s="72" t="s">
        <v>60</v>
      </c>
    </row>
    <row r="3" spans="1:7" x14ac:dyDescent="0.25">
      <c r="C3" s="72"/>
    </row>
    <row r="4" spans="1:7" x14ac:dyDescent="0.25">
      <c r="A4" s="68">
        <v>2018</v>
      </c>
      <c r="C4" s="73"/>
      <c r="D4" s="73"/>
      <c r="E4" s="73" t="s">
        <v>1</v>
      </c>
      <c r="F4" s="73"/>
      <c r="G4" s="73"/>
    </row>
    <row r="5" spans="1:7" x14ac:dyDescent="0.25">
      <c r="A5" s="12" t="s">
        <v>3</v>
      </c>
      <c r="B5" s="12" t="s">
        <v>4</v>
      </c>
      <c r="C5" s="73" t="s">
        <v>5</v>
      </c>
      <c r="D5" s="73" t="s">
        <v>6</v>
      </c>
      <c r="E5" s="73" t="s">
        <v>7</v>
      </c>
      <c r="F5" s="73" t="s">
        <v>8</v>
      </c>
      <c r="G5" s="73" t="s">
        <v>9</v>
      </c>
    </row>
    <row r="6" spans="1:7" x14ac:dyDescent="0.25">
      <c r="A6" s="70" t="s">
        <v>12</v>
      </c>
      <c r="B6" s="69" t="s">
        <v>13</v>
      </c>
      <c r="C6" s="46">
        <v>35000</v>
      </c>
      <c r="D6" s="46" t="s">
        <v>23</v>
      </c>
      <c r="E6" s="16">
        <v>-149599</v>
      </c>
      <c r="F6" s="16">
        <v>0</v>
      </c>
      <c r="G6" s="17">
        <f>SUM(E6:F6)</f>
        <v>-149599</v>
      </c>
    </row>
    <row r="7" spans="1:7" x14ac:dyDescent="0.25">
      <c r="A7" s="13" t="s">
        <v>64</v>
      </c>
      <c r="B7" s="12"/>
      <c r="C7" s="12"/>
      <c r="D7" s="12"/>
      <c r="E7" s="14">
        <f>SUM(E6)</f>
        <v>-149599</v>
      </c>
      <c r="F7" s="14">
        <f>SUM(F6)</f>
        <v>0</v>
      </c>
      <c r="G7" s="14">
        <f>SUM(G6)</f>
        <v>-149599</v>
      </c>
    </row>
    <row r="8" spans="1:7" x14ac:dyDescent="0.25">
      <c r="A8" s="70" t="s">
        <v>16</v>
      </c>
      <c r="B8" s="69" t="s">
        <v>17</v>
      </c>
      <c r="C8" s="46">
        <v>35000</v>
      </c>
      <c r="D8" s="46" t="s">
        <v>23</v>
      </c>
      <c r="E8" s="16">
        <v>0</v>
      </c>
      <c r="F8" s="16">
        <v>-170238</v>
      </c>
      <c r="G8" s="17">
        <f t="shared" ref="G8:G10" si="0">SUM(E8:F8)</f>
        <v>-170238</v>
      </c>
    </row>
    <row r="9" spans="1:7" x14ac:dyDescent="0.25">
      <c r="C9" s="46">
        <v>69000</v>
      </c>
      <c r="D9" s="46" t="s">
        <v>19</v>
      </c>
      <c r="E9" s="16">
        <v>337328.49</v>
      </c>
      <c r="F9" s="16">
        <v>0</v>
      </c>
      <c r="G9" s="16">
        <f t="shared" si="0"/>
        <v>337328.49</v>
      </c>
    </row>
    <row r="10" spans="1:7" x14ac:dyDescent="0.25">
      <c r="C10" s="69">
        <v>69400</v>
      </c>
      <c r="D10" s="74" t="s">
        <v>11</v>
      </c>
      <c r="E10" s="16">
        <v>302455</v>
      </c>
      <c r="F10" s="16">
        <v>890873</v>
      </c>
      <c r="G10" s="71">
        <f t="shared" si="0"/>
        <v>1193328</v>
      </c>
    </row>
    <row r="11" spans="1:7" x14ac:dyDescent="0.25">
      <c r="A11" s="13" t="s">
        <v>65</v>
      </c>
      <c r="B11" s="12"/>
      <c r="C11" s="12"/>
      <c r="D11" s="75"/>
      <c r="E11" s="18">
        <f>SUM(E8:E10)</f>
        <v>639783.49</v>
      </c>
      <c r="F11" s="18">
        <f t="shared" ref="F11:G11" si="1">SUM(F8:F10)</f>
        <v>720635</v>
      </c>
      <c r="G11" s="18">
        <f t="shared" si="1"/>
        <v>1360418.49</v>
      </c>
    </row>
    <row r="12" spans="1:7" x14ac:dyDescent="0.25">
      <c r="A12" s="12" t="s">
        <v>9</v>
      </c>
      <c r="D12" s="74"/>
      <c r="E12" s="19">
        <f>E7+E11</f>
        <v>490184.49</v>
      </c>
      <c r="F12" s="19">
        <f>F7+F11</f>
        <v>720635</v>
      </c>
      <c r="G12" s="19">
        <f>G7+G11</f>
        <v>1210819.49</v>
      </c>
    </row>
    <row r="13" spans="1:7" ht="15.75" thickBot="1" x14ac:dyDescent="0.3">
      <c r="D13" s="76" t="s">
        <v>20</v>
      </c>
      <c r="E13" s="77">
        <v>4.6699999999999998E-2</v>
      </c>
      <c r="F13" s="77">
        <v>4.6699999999999998E-2</v>
      </c>
    </row>
    <row r="14" spans="1:7" ht="18" thickBot="1" x14ac:dyDescent="0.45">
      <c r="E14" s="20">
        <f>ROUND(E12*E13,2)</f>
        <v>22891.62</v>
      </c>
      <c r="F14" s="20">
        <f>ROUND(F12*F13,2)</f>
        <v>33653.65</v>
      </c>
      <c r="G14" s="15">
        <f>SUM(E14:F14)</f>
        <v>56545.270000000004</v>
      </c>
    </row>
    <row r="16" spans="1:7" x14ac:dyDescent="0.25">
      <c r="A16" s="68">
        <v>2019</v>
      </c>
      <c r="C16" s="73"/>
      <c r="D16" s="73"/>
      <c r="E16" s="73" t="s">
        <v>1</v>
      </c>
      <c r="F16" s="73"/>
      <c r="G16" s="73"/>
    </row>
    <row r="17" spans="1:7" x14ac:dyDescent="0.25">
      <c r="A17" s="12" t="s">
        <v>3</v>
      </c>
      <c r="B17" s="12" t="s">
        <v>4</v>
      </c>
      <c r="C17" s="73" t="s">
        <v>5</v>
      </c>
      <c r="D17" s="73" t="s">
        <v>6</v>
      </c>
      <c r="E17" s="73" t="s">
        <v>7</v>
      </c>
      <c r="F17" s="73"/>
      <c r="G17" s="73" t="s">
        <v>9</v>
      </c>
    </row>
    <row r="18" spans="1:7" x14ac:dyDescent="0.25">
      <c r="A18" s="70" t="s">
        <v>16</v>
      </c>
      <c r="B18" s="69" t="s">
        <v>17</v>
      </c>
      <c r="C18" s="46">
        <v>69000</v>
      </c>
      <c r="D18" s="46" t="s">
        <v>19</v>
      </c>
      <c r="E18" s="16">
        <v>229583.07</v>
      </c>
      <c r="F18" s="16"/>
      <c r="G18" s="16">
        <f t="shared" ref="G18" si="2">SUM(E18:F18)</f>
        <v>229583.07</v>
      </c>
    </row>
    <row r="19" spans="1:7" ht="15.75" thickBot="1" x14ac:dyDescent="0.3">
      <c r="D19" s="76" t="s">
        <v>20</v>
      </c>
      <c r="E19" s="77">
        <v>4.0399999999999998E-2</v>
      </c>
      <c r="F19" s="78"/>
    </row>
    <row r="20" spans="1:7" ht="18" thickBot="1" x14ac:dyDescent="0.45">
      <c r="E20" s="20">
        <f>ROUND(E18*E19,2)</f>
        <v>9275.16</v>
      </c>
      <c r="F20" s="20"/>
      <c r="G20" s="15">
        <f>SUM(E20:F20)</f>
        <v>9275.16</v>
      </c>
    </row>
  </sheetData>
  <pageMargins left="0.7" right="0.7" top="0.75" bottom="0.75" header="0.3" footer="0.3"/>
  <pageSetup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8C193-A72C-46B9-9A91-F809F3082AE8}">
  <sheetPr>
    <pageSetUpPr fitToPage="1"/>
  </sheetPr>
  <dimension ref="A1:G30"/>
  <sheetViews>
    <sheetView workbookViewId="0"/>
  </sheetViews>
  <sheetFormatPr defaultRowHeight="12.75" x14ac:dyDescent="0.2"/>
  <cols>
    <col min="1" max="1" width="25.85546875" bestFit="1" customWidth="1"/>
    <col min="2" max="2" width="34.5703125" bestFit="1" customWidth="1"/>
    <col min="3" max="3" width="15.5703125" bestFit="1" customWidth="1"/>
    <col min="4" max="4" width="24.7109375" bestFit="1" customWidth="1"/>
    <col min="5" max="5" width="21.5703125" bestFit="1" customWidth="1"/>
    <col min="6" max="6" width="30" bestFit="1" customWidth="1"/>
    <col min="7" max="7" width="16.85546875" bestFit="1" customWidth="1"/>
    <col min="8" max="8" width="11.140625" bestFit="1" customWidth="1"/>
  </cols>
  <sheetData>
    <row r="1" spans="1:7" ht="15" x14ac:dyDescent="0.25">
      <c r="A1" s="11" t="s">
        <v>113</v>
      </c>
      <c r="G1" s="72" t="s">
        <v>75</v>
      </c>
    </row>
    <row r="2" spans="1:7" ht="15" x14ac:dyDescent="0.25">
      <c r="G2" s="72" t="s">
        <v>61</v>
      </c>
    </row>
    <row r="4" spans="1:7" s="1" customFormat="1" x14ac:dyDescent="0.2">
      <c r="A4" s="1" t="s">
        <v>0</v>
      </c>
      <c r="G4" s="1" t="s">
        <v>1</v>
      </c>
    </row>
    <row r="5" spans="1:7" s="1" customFormat="1" x14ac:dyDescent="0.2">
      <c r="A5" s="1" t="s">
        <v>2</v>
      </c>
      <c r="B5" s="1" t="s">
        <v>21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</row>
    <row r="6" spans="1:7" x14ac:dyDescent="0.2">
      <c r="A6" t="s">
        <v>24</v>
      </c>
      <c r="B6" t="s">
        <v>25</v>
      </c>
      <c r="C6" t="s">
        <v>16</v>
      </c>
      <c r="D6" t="s">
        <v>17</v>
      </c>
      <c r="E6" t="s">
        <v>45</v>
      </c>
      <c r="F6" t="s">
        <v>46</v>
      </c>
      <c r="G6" s="9">
        <v>21740.32</v>
      </c>
    </row>
    <row r="7" spans="1:7" s="1" customFormat="1" x14ac:dyDescent="0.2">
      <c r="A7" s="1" t="s">
        <v>26</v>
      </c>
      <c r="G7" s="10">
        <v>21740.32</v>
      </c>
    </row>
    <row r="8" spans="1:7" x14ac:dyDescent="0.2">
      <c r="A8" t="s">
        <v>102</v>
      </c>
      <c r="B8" t="s">
        <v>103</v>
      </c>
      <c r="C8" t="s">
        <v>16</v>
      </c>
      <c r="D8" t="s">
        <v>17</v>
      </c>
      <c r="E8" t="s">
        <v>45</v>
      </c>
      <c r="F8" t="s">
        <v>46</v>
      </c>
      <c r="G8" s="9">
        <v>3205.36</v>
      </c>
    </row>
    <row r="9" spans="1:7" x14ac:dyDescent="0.2">
      <c r="E9" t="s">
        <v>10</v>
      </c>
      <c r="F9" t="s">
        <v>11</v>
      </c>
      <c r="G9" s="9">
        <v>236872</v>
      </c>
    </row>
    <row r="10" spans="1:7" s="1" customFormat="1" x14ac:dyDescent="0.2">
      <c r="A10" s="1" t="s">
        <v>104</v>
      </c>
      <c r="G10" s="10">
        <v>240077.36</v>
      </c>
    </row>
    <row r="11" spans="1:7" x14ac:dyDescent="0.2">
      <c r="A11" t="s">
        <v>27</v>
      </c>
      <c r="B11" t="s">
        <v>28</v>
      </c>
      <c r="C11" t="s">
        <v>12</v>
      </c>
      <c r="D11" t="s">
        <v>13</v>
      </c>
      <c r="E11" t="s">
        <v>22</v>
      </c>
      <c r="F11" t="s">
        <v>23</v>
      </c>
      <c r="G11" s="9">
        <v>-2652</v>
      </c>
    </row>
    <row r="12" spans="1:7" x14ac:dyDescent="0.2">
      <c r="C12" t="s">
        <v>16</v>
      </c>
      <c r="D12" t="s">
        <v>17</v>
      </c>
      <c r="E12" t="s">
        <v>18</v>
      </c>
      <c r="F12" t="s">
        <v>19</v>
      </c>
      <c r="G12" s="9">
        <v>83469.710000000036</v>
      </c>
    </row>
    <row r="13" spans="1:7" x14ac:dyDescent="0.2">
      <c r="E13" t="s">
        <v>45</v>
      </c>
      <c r="F13" t="s">
        <v>46</v>
      </c>
      <c r="G13" s="9">
        <v>74660.039999999994</v>
      </c>
    </row>
    <row r="14" spans="1:7" x14ac:dyDescent="0.2">
      <c r="E14" t="s">
        <v>10</v>
      </c>
      <c r="F14" t="s">
        <v>11</v>
      </c>
      <c r="G14" s="9">
        <v>28107.060000000005</v>
      </c>
    </row>
    <row r="15" spans="1:7" x14ac:dyDescent="0.2">
      <c r="E15" t="s">
        <v>32</v>
      </c>
      <c r="F15" t="s">
        <v>33</v>
      </c>
      <c r="G15" s="9">
        <v>13709.22</v>
      </c>
    </row>
    <row r="16" spans="1:7" s="1" customFormat="1" x14ac:dyDescent="0.2">
      <c r="A16" s="1" t="s">
        <v>29</v>
      </c>
      <c r="G16" s="10">
        <v>197294.03000000003</v>
      </c>
    </row>
    <row r="17" spans="1:7" x14ac:dyDescent="0.2">
      <c r="A17" t="s">
        <v>105</v>
      </c>
      <c r="B17" t="s">
        <v>106</v>
      </c>
      <c r="C17" t="s">
        <v>12</v>
      </c>
      <c r="D17" t="s">
        <v>13</v>
      </c>
      <c r="E17" t="s">
        <v>22</v>
      </c>
      <c r="F17" t="s">
        <v>23</v>
      </c>
      <c r="G17" s="9">
        <v>40000</v>
      </c>
    </row>
    <row r="18" spans="1:7" x14ac:dyDescent="0.2">
      <c r="C18" t="s">
        <v>16</v>
      </c>
      <c r="D18" t="s">
        <v>17</v>
      </c>
      <c r="E18" t="s">
        <v>18</v>
      </c>
      <c r="F18" t="s">
        <v>19</v>
      </c>
      <c r="G18" s="9">
        <v>261240.9</v>
      </c>
    </row>
    <row r="19" spans="1:7" x14ac:dyDescent="0.2">
      <c r="E19" t="s">
        <v>45</v>
      </c>
      <c r="F19" t="s">
        <v>46</v>
      </c>
      <c r="G19" s="9">
        <v>74490.2</v>
      </c>
    </row>
    <row r="20" spans="1:7" x14ac:dyDescent="0.2">
      <c r="E20" t="s">
        <v>10</v>
      </c>
      <c r="F20" t="s">
        <v>11</v>
      </c>
      <c r="G20" s="9">
        <v>213956.25</v>
      </c>
    </row>
    <row r="21" spans="1:7" s="1" customFormat="1" x14ac:dyDescent="0.2">
      <c r="A21" s="1" t="s">
        <v>107</v>
      </c>
      <c r="G21" s="10">
        <v>589687.35000000009</v>
      </c>
    </row>
    <row r="22" spans="1:7" x14ac:dyDescent="0.2">
      <c r="A22" t="s">
        <v>108</v>
      </c>
      <c r="B22" t="s">
        <v>109</v>
      </c>
      <c r="C22" t="s">
        <v>16</v>
      </c>
      <c r="D22" t="s">
        <v>17</v>
      </c>
      <c r="E22" t="s">
        <v>10</v>
      </c>
      <c r="F22" t="s">
        <v>11</v>
      </c>
      <c r="G22" s="9">
        <v>76433.670000000013</v>
      </c>
    </row>
    <row r="23" spans="1:7" x14ac:dyDescent="0.2">
      <c r="C23" t="s">
        <v>110</v>
      </c>
      <c r="D23" t="s">
        <v>111</v>
      </c>
      <c r="E23" t="s">
        <v>18</v>
      </c>
      <c r="F23" t="s">
        <v>19</v>
      </c>
      <c r="G23" s="9">
        <v>2679.68</v>
      </c>
    </row>
    <row r="24" spans="1:7" x14ac:dyDescent="0.2">
      <c r="E24" t="s">
        <v>45</v>
      </c>
      <c r="F24" t="s">
        <v>46</v>
      </c>
      <c r="G24" s="9">
        <v>49631.939999999988</v>
      </c>
    </row>
    <row r="25" spans="1:7" s="1" customFormat="1" x14ac:dyDescent="0.2">
      <c r="A25" s="1" t="s">
        <v>112</v>
      </c>
      <c r="G25" s="10">
        <v>128745.29</v>
      </c>
    </row>
    <row r="26" spans="1:7" x14ac:dyDescent="0.2">
      <c r="A26" t="s">
        <v>30</v>
      </c>
      <c r="B26" t="s">
        <v>31</v>
      </c>
      <c r="C26" t="s">
        <v>16</v>
      </c>
      <c r="D26" t="s">
        <v>17</v>
      </c>
      <c r="E26" t="s">
        <v>22</v>
      </c>
      <c r="F26" t="s">
        <v>23</v>
      </c>
      <c r="G26" s="9">
        <v>-15282.5</v>
      </c>
    </row>
    <row r="27" spans="1:7" s="1" customFormat="1" x14ac:dyDescent="0.2">
      <c r="A27" s="1" t="s">
        <v>34</v>
      </c>
      <c r="G27" s="10">
        <v>-15282.5</v>
      </c>
    </row>
    <row r="28" spans="1:7" s="1" customFormat="1" x14ac:dyDescent="0.2">
      <c r="A28" s="1" t="s">
        <v>9</v>
      </c>
      <c r="G28" s="10">
        <v>1162261.8499999999</v>
      </c>
    </row>
    <row r="29" spans="1:7" ht="15" x14ac:dyDescent="0.25">
      <c r="F29" s="76" t="s">
        <v>20</v>
      </c>
      <c r="G29" s="77">
        <v>4.6699999999999998E-2</v>
      </c>
    </row>
    <row r="30" spans="1:7" ht="17.25" x14ac:dyDescent="0.4">
      <c r="F30" s="69"/>
      <c r="G30" s="20">
        <f>ROUND(G28*G29,2)</f>
        <v>54277.63</v>
      </c>
    </row>
  </sheetData>
  <pageMargins left="0.7" right="0.7" top="0.75" bottom="0.75" header="0.3" footer="0.3"/>
  <pageSetup paperSize="5" scale="96" fitToHeight="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A81C0-4EE4-4C43-B7DE-06E8C79DE7E5}">
  <sheetPr>
    <pageSetUpPr fitToPage="1"/>
  </sheetPr>
  <dimension ref="A1:J190"/>
  <sheetViews>
    <sheetView topLeftCell="C1" workbookViewId="0">
      <selection activeCell="L23" sqref="L23"/>
    </sheetView>
  </sheetViews>
  <sheetFormatPr defaultColWidth="8.7109375" defaultRowHeight="12.75" x14ac:dyDescent="0.2"/>
  <cols>
    <col min="1" max="1" width="25.85546875" style="81" bestFit="1" customWidth="1"/>
    <col min="2" max="2" width="34.5703125" style="81" bestFit="1" customWidth="1"/>
    <col min="3" max="3" width="15.5703125" style="81" bestFit="1" customWidth="1"/>
    <col min="4" max="4" width="24.7109375" style="81" bestFit="1" customWidth="1"/>
    <col min="5" max="5" width="21.5703125" style="81" bestFit="1" customWidth="1"/>
    <col min="6" max="6" width="30" style="81" bestFit="1" customWidth="1"/>
    <col min="7" max="7" width="16.85546875" style="81" bestFit="1" customWidth="1"/>
    <col min="8" max="8" width="10.140625" style="81" bestFit="1" customWidth="1"/>
    <col min="9" max="9" width="11.140625" style="81" bestFit="1" customWidth="1"/>
    <col min="10" max="10" width="4.7109375" style="81" bestFit="1" customWidth="1"/>
    <col min="11" max="16384" width="8.7109375" style="81"/>
  </cols>
  <sheetData>
    <row r="1" spans="1:9" ht="15" x14ac:dyDescent="0.25">
      <c r="A1" s="11" t="s">
        <v>123</v>
      </c>
      <c r="I1" s="72" t="s">
        <v>75</v>
      </c>
    </row>
    <row r="2" spans="1:9" ht="15" x14ac:dyDescent="0.25">
      <c r="A2" s="11"/>
      <c r="I2" s="72" t="s">
        <v>125</v>
      </c>
    </row>
    <row r="4" spans="1:9" s="86" customFormat="1" x14ac:dyDescent="0.2">
      <c r="A4" s="86" t="s">
        <v>0</v>
      </c>
      <c r="G4" s="86" t="s">
        <v>1</v>
      </c>
    </row>
    <row r="5" spans="1:9" s="86" customFormat="1" x14ac:dyDescent="0.2">
      <c r="A5" s="86" t="s">
        <v>2</v>
      </c>
      <c r="B5" s="86" t="s">
        <v>21</v>
      </c>
      <c r="C5" s="86" t="s">
        <v>3</v>
      </c>
      <c r="D5" s="86" t="s">
        <v>4</v>
      </c>
      <c r="E5" s="86" t="s">
        <v>5</v>
      </c>
      <c r="F5" s="86" t="s">
        <v>6</v>
      </c>
      <c r="G5" s="86" t="s">
        <v>7</v>
      </c>
      <c r="H5" s="86" t="s">
        <v>114</v>
      </c>
      <c r="I5" s="86" t="s">
        <v>9</v>
      </c>
    </row>
    <row r="6" spans="1:9" x14ac:dyDescent="0.2">
      <c r="A6" s="81" t="s">
        <v>24</v>
      </c>
      <c r="B6" s="81" t="s">
        <v>25</v>
      </c>
      <c r="C6" s="81" t="s">
        <v>16</v>
      </c>
      <c r="D6" s="81" t="s">
        <v>17</v>
      </c>
      <c r="E6" s="81" t="s">
        <v>18</v>
      </c>
      <c r="F6" s="81" t="s">
        <v>19</v>
      </c>
      <c r="G6" s="82">
        <v>2481.3000000000002</v>
      </c>
      <c r="H6" s="82"/>
      <c r="I6" s="82">
        <v>2481.3000000000002</v>
      </c>
    </row>
    <row r="7" spans="1:9" s="86" customFormat="1" x14ac:dyDescent="0.2">
      <c r="A7" s="86" t="s">
        <v>26</v>
      </c>
      <c r="G7" s="87">
        <v>2481.3000000000002</v>
      </c>
      <c r="H7" s="87"/>
      <c r="I7" s="87">
        <v>2481.3000000000002</v>
      </c>
    </row>
    <row r="8" spans="1:9" x14ac:dyDescent="0.2">
      <c r="A8" s="81" t="s">
        <v>102</v>
      </c>
      <c r="B8" s="81" t="s">
        <v>103</v>
      </c>
      <c r="C8" s="81" t="s">
        <v>12</v>
      </c>
      <c r="D8" s="81" t="s">
        <v>13</v>
      </c>
      <c r="E8" s="81" t="s">
        <v>22</v>
      </c>
      <c r="F8" s="81" t="s">
        <v>23</v>
      </c>
      <c r="G8" s="82">
        <v>685</v>
      </c>
      <c r="H8" s="82"/>
      <c r="I8" s="82">
        <v>685</v>
      </c>
    </row>
    <row r="9" spans="1:9" x14ac:dyDescent="0.2">
      <c r="C9" s="81" t="s">
        <v>16</v>
      </c>
      <c r="D9" s="81" t="s">
        <v>17</v>
      </c>
      <c r="E9" s="81" t="s">
        <v>18</v>
      </c>
      <c r="F9" s="81" t="s">
        <v>19</v>
      </c>
      <c r="G9" s="82">
        <v>291866.36999999994</v>
      </c>
      <c r="H9" s="82"/>
      <c r="I9" s="82">
        <v>291866.36999999994</v>
      </c>
    </row>
    <row r="10" spans="1:9" x14ac:dyDescent="0.2">
      <c r="E10" s="81" t="s">
        <v>45</v>
      </c>
      <c r="F10" s="81" t="s">
        <v>46</v>
      </c>
      <c r="G10" s="82">
        <v>134263.97999999995</v>
      </c>
      <c r="H10" s="82"/>
      <c r="I10" s="82">
        <v>134263.97999999995</v>
      </c>
    </row>
    <row r="11" spans="1:9" x14ac:dyDescent="0.2">
      <c r="E11" s="81" t="s">
        <v>10</v>
      </c>
      <c r="F11" s="81" t="s">
        <v>11</v>
      </c>
      <c r="G11" s="82">
        <v>102755.94</v>
      </c>
      <c r="H11" s="82"/>
      <c r="I11" s="82">
        <v>102755.94</v>
      </c>
    </row>
    <row r="12" spans="1:9" x14ac:dyDescent="0.2">
      <c r="E12" s="81" t="s">
        <v>32</v>
      </c>
      <c r="F12" s="81" t="s">
        <v>33</v>
      </c>
      <c r="G12" s="82">
        <v>2004.34</v>
      </c>
      <c r="H12" s="82"/>
      <c r="I12" s="82">
        <v>2004.34</v>
      </c>
    </row>
    <row r="13" spans="1:9" s="86" customFormat="1" x14ac:dyDescent="0.2">
      <c r="A13" s="86" t="s">
        <v>104</v>
      </c>
      <c r="G13" s="87">
        <v>531575.62999999977</v>
      </c>
      <c r="H13" s="87"/>
      <c r="I13" s="87">
        <v>531575.62999999977</v>
      </c>
    </row>
    <row r="14" spans="1:9" x14ac:dyDescent="0.2">
      <c r="A14" s="81" t="s">
        <v>27</v>
      </c>
      <c r="B14" s="81" t="s">
        <v>28</v>
      </c>
      <c r="C14" s="81" t="s">
        <v>16</v>
      </c>
      <c r="D14" s="81" t="s">
        <v>17</v>
      </c>
      <c r="E14" s="81" t="s">
        <v>18</v>
      </c>
      <c r="F14" s="81" t="s">
        <v>19</v>
      </c>
      <c r="G14" s="82">
        <v>5208.8999999999996</v>
      </c>
      <c r="H14" s="82"/>
      <c r="I14" s="82">
        <v>5208.8999999999996</v>
      </c>
    </row>
    <row r="15" spans="1:9" x14ac:dyDescent="0.2">
      <c r="E15" s="81" t="s">
        <v>45</v>
      </c>
      <c r="F15" s="81" t="s">
        <v>46</v>
      </c>
      <c r="G15" s="82">
        <v>7928.6400000000012</v>
      </c>
      <c r="H15" s="82"/>
      <c r="I15" s="82">
        <v>7928.6400000000012</v>
      </c>
    </row>
    <row r="16" spans="1:9" s="86" customFormat="1" x14ac:dyDescent="0.2">
      <c r="A16" s="86" t="s">
        <v>29</v>
      </c>
      <c r="G16" s="87">
        <v>13137.54</v>
      </c>
      <c r="H16" s="87"/>
      <c r="I16" s="87">
        <v>13137.54</v>
      </c>
    </row>
    <row r="17" spans="1:9" x14ac:dyDescent="0.2">
      <c r="A17" s="81" t="s">
        <v>105</v>
      </c>
      <c r="B17" s="81" t="s">
        <v>106</v>
      </c>
      <c r="C17" s="81" t="s">
        <v>12</v>
      </c>
      <c r="D17" s="81" t="s">
        <v>13</v>
      </c>
      <c r="E17" s="81" t="s">
        <v>22</v>
      </c>
      <c r="F17" s="81" t="s">
        <v>23</v>
      </c>
      <c r="G17" s="82">
        <v>-40000</v>
      </c>
      <c r="H17" s="82"/>
      <c r="I17" s="82">
        <v>-40000</v>
      </c>
    </row>
    <row r="18" spans="1:9" x14ac:dyDescent="0.2">
      <c r="C18" s="81" t="s">
        <v>16</v>
      </c>
      <c r="D18" s="81" t="s">
        <v>17</v>
      </c>
      <c r="E18" s="81" t="s">
        <v>18</v>
      </c>
      <c r="F18" s="81" t="s">
        <v>19</v>
      </c>
      <c r="G18" s="82">
        <v>-864.24</v>
      </c>
      <c r="H18" s="82"/>
      <c r="I18" s="82">
        <v>-864.24</v>
      </c>
    </row>
    <row r="19" spans="1:9" x14ac:dyDescent="0.2">
      <c r="E19" s="81" t="s">
        <v>45</v>
      </c>
      <c r="F19" s="81" t="s">
        <v>46</v>
      </c>
      <c r="G19" s="82">
        <v>2000.28</v>
      </c>
      <c r="H19" s="82"/>
      <c r="I19" s="82">
        <v>2000.28</v>
      </c>
    </row>
    <row r="20" spans="1:9" x14ac:dyDescent="0.2">
      <c r="E20" s="81" t="s">
        <v>10</v>
      </c>
      <c r="F20" s="81" t="s">
        <v>11</v>
      </c>
      <c r="G20" s="82">
        <v>90295.679999999993</v>
      </c>
      <c r="H20" s="82"/>
      <c r="I20" s="82">
        <v>90295.679999999993</v>
      </c>
    </row>
    <row r="21" spans="1:9" s="86" customFormat="1" x14ac:dyDescent="0.2">
      <c r="A21" s="86" t="s">
        <v>107</v>
      </c>
      <c r="G21" s="87">
        <v>51431.719999999994</v>
      </c>
      <c r="H21" s="87"/>
      <c r="I21" s="87">
        <v>51431.719999999994</v>
      </c>
    </row>
    <row r="22" spans="1:9" x14ac:dyDescent="0.2">
      <c r="A22" s="81" t="s">
        <v>108</v>
      </c>
      <c r="B22" s="81" t="s">
        <v>109</v>
      </c>
      <c r="C22" s="81" t="s">
        <v>16</v>
      </c>
      <c r="D22" s="81" t="s">
        <v>17</v>
      </c>
      <c r="E22" s="81" t="s">
        <v>10</v>
      </c>
      <c r="F22" s="81" t="s">
        <v>11</v>
      </c>
      <c r="G22" s="82">
        <v>-18339.060000000001</v>
      </c>
      <c r="H22" s="82"/>
      <c r="I22" s="82">
        <v>-18339.060000000001</v>
      </c>
    </row>
    <row r="23" spans="1:9" x14ac:dyDescent="0.2">
      <c r="C23" s="81" t="s">
        <v>110</v>
      </c>
      <c r="D23" s="81" t="s">
        <v>111</v>
      </c>
      <c r="E23" s="81" t="s">
        <v>18</v>
      </c>
      <c r="F23" s="81" t="s">
        <v>19</v>
      </c>
      <c r="G23" s="82">
        <v>-2679.68</v>
      </c>
      <c r="H23" s="82"/>
      <c r="I23" s="82">
        <v>-2679.68</v>
      </c>
    </row>
    <row r="24" spans="1:9" x14ac:dyDescent="0.2">
      <c r="E24" s="81" t="s">
        <v>45</v>
      </c>
      <c r="F24" s="81" t="s">
        <v>46</v>
      </c>
      <c r="G24" s="82">
        <v>19008.98</v>
      </c>
      <c r="H24" s="82"/>
      <c r="I24" s="82">
        <v>19008.98</v>
      </c>
    </row>
    <row r="25" spans="1:9" s="86" customFormat="1" x14ac:dyDescent="0.2">
      <c r="A25" s="86" t="s">
        <v>112</v>
      </c>
      <c r="G25" s="87">
        <v>-2009.760000000002</v>
      </c>
      <c r="H25" s="87"/>
      <c r="I25" s="87">
        <v>-2009.760000000002</v>
      </c>
    </row>
    <row r="26" spans="1:9" x14ac:dyDescent="0.2">
      <c r="A26" s="81" t="s">
        <v>115</v>
      </c>
      <c r="B26" s="81" t="s">
        <v>116</v>
      </c>
      <c r="C26" s="81" t="s">
        <v>16</v>
      </c>
      <c r="D26" s="81" t="s">
        <v>17</v>
      </c>
      <c r="E26" s="81" t="s">
        <v>18</v>
      </c>
      <c r="F26" s="81" t="s">
        <v>19</v>
      </c>
      <c r="G26" s="82">
        <v>917.15000000000009</v>
      </c>
      <c r="H26" s="82"/>
      <c r="I26" s="82">
        <v>917.15000000000009</v>
      </c>
    </row>
    <row r="27" spans="1:9" x14ac:dyDescent="0.2">
      <c r="E27" s="81" t="s">
        <v>10</v>
      </c>
      <c r="F27" s="81" t="s">
        <v>11</v>
      </c>
      <c r="G27" s="82">
        <v>318143</v>
      </c>
      <c r="H27" s="82"/>
      <c r="I27" s="82">
        <v>318143</v>
      </c>
    </row>
    <row r="28" spans="1:9" s="86" customFormat="1" x14ac:dyDescent="0.2">
      <c r="A28" s="86" t="s">
        <v>117</v>
      </c>
      <c r="G28" s="87">
        <v>319060.15000000002</v>
      </c>
      <c r="H28" s="87"/>
      <c r="I28" s="87">
        <v>319060.15000000002</v>
      </c>
    </row>
    <row r="29" spans="1:9" x14ac:dyDescent="0.2">
      <c r="A29" s="81" t="s">
        <v>118</v>
      </c>
      <c r="B29" s="81" t="s">
        <v>119</v>
      </c>
      <c r="C29" s="81" t="s">
        <v>110</v>
      </c>
      <c r="D29" s="81" t="s">
        <v>111</v>
      </c>
      <c r="E29" s="81" t="s">
        <v>49</v>
      </c>
      <c r="F29" s="81" t="s">
        <v>50</v>
      </c>
      <c r="G29" s="82"/>
      <c r="H29" s="82">
        <v>14118</v>
      </c>
      <c r="I29" s="82">
        <v>14118</v>
      </c>
    </row>
    <row r="30" spans="1:9" x14ac:dyDescent="0.2">
      <c r="E30" s="81" t="s">
        <v>120</v>
      </c>
      <c r="F30" s="81" t="s">
        <v>121</v>
      </c>
      <c r="G30" s="82"/>
      <c r="H30" s="82">
        <v>14118</v>
      </c>
      <c r="I30" s="82">
        <v>14118</v>
      </c>
    </row>
    <row r="31" spans="1:9" s="86" customFormat="1" x14ac:dyDescent="0.2">
      <c r="A31" s="86" t="s">
        <v>122</v>
      </c>
      <c r="G31" s="87"/>
      <c r="H31" s="87">
        <v>28236</v>
      </c>
      <c r="I31" s="87">
        <v>28236</v>
      </c>
    </row>
    <row r="32" spans="1:9" s="86" customFormat="1" x14ac:dyDescent="0.2">
      <c r="A32" s="86" t="s">
        <v>9</v>
      </c>
      <c r="G32" s="87">
        <v>915676.57999999984</v>
      </c>
      <c r="H32" s="87">
        <v>28236</v>
      </c>
      <c r="I32" s="87">
        <v>943912.57999999984</v>
      </c>
    </row>
    <row r="33" spans="6:9" ht="13.5" thickBot="1" x14ac:dyDescent="0.25">
      <c r="F33" s="83" t="s">
        <v>71</v>
      </c>
      <c r="G33" s="80">
        <v>4.0399999999999998E-2</v>
      </c>
      <c r="H33" s="80">
        <v>5.3699999999999998E-2</v>
      </c>
    </row>
    <row r="34" spans="6:9" ht="13.5" thickBot="1" x14ac:dyDescent="0.25">
      <c r="F34" s="83"/>
      <c r="G34" s="84">
        <f>ROUND(G32*G33,2)</f>
        <v>36993.33</v>
      </c>
      <c r="H34" s="84">
        <f>ROUND(H32*H33,2)</f>
        <v>1516.27</v>
      </c>
      <c r="I34" s="85">
        <f>SUM(G34:H34)</f>
        <v>38509.599999999999</v>
      </c>
    </row>
    <row r="189" spans="7:10" ht="13.5" thickBot="1" x14ac:dyDescent="0.25">
      <c r="G189" s="83" t="s">
        <v>71</v>
      </c>
      <c r="H189" s="80">
        <v>4.0399999999999998E-2</v>
      </c>
      <c r="I189" s="80">
        <v>5.3699999999999998E-2</v>
      </c>
    </row>
    <row r="190" spans="7:10" ht="13.5" thickBot="1" x14ac:dyDescent="0.25">
      <c r="G190" s="83"/>
      <c r="H190" s="84">
        <f>ROUND(H188*H189,2)</f>
        <v>0</v>
      </c>
      <c r="I190" s="84">
        <f>ROUND(I188*I189,2)</f>
        <v>0</v>
      </c>
      <c r="J190" s="85">
        <f>SUM(H190:I190)</f>
        <v>0</v>
      </c>
    </row>
  </sheetData>
  <pageMargins left="0.7" right="0.7" top="0.75" bottom="0.75" header="0.3" footer="0.3"/>
  <pageSetup paperSize="5" scale="85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EB6C28-33F0-4C4F-97F5-F513CB12630A}">
  <ds:schemaRefs>
    <ds:schemaRef ds:uri="7558938a-8a22-4524-afb0-58b165029303"/>
    <ds:schemaRef ds:uri="http://purl.org/dc/terms/"/>
    <ds:schemaRef ds:uri="http://purl.org/dc/elements/1.1/"/>
    <ds:schemaRef ds:uri="99180bc4-2f7d-45e7-9e22-353907fb92c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5208DE2-B14E-4A5B-A323-A160A64BEB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EBEDC8-4B43-451C-AB4F-4B55DFE6FC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Cover Page</vt:lpstr>
      <vt:lpstr>Transmission CIP v.6 O&amp;M</vt:lpstr>
      <vt:lpstr>NERC transmission line veg mgmt</vt:lpstr>
      <vt:lpstr>Production CIP v.6 O&amp;M</vt:lpstr>
      <vt:lpstr>MOD 26 MOD 27</vt:lpstr>
      <vt:lpstr>EPMO Employee Labor O&amp;M</vt:lpstr>
      <vt:lpstr>EPMO Contract Labor O&amp;M</vt:lpstr>
      <vt:lpstr>2018 IT Tools O&amp;M</vt:lpstr>
      <vt:lpstr>2019 IT Tools O&amp;M</vt:lpstr>
      <vt:lpstr>'2018 IT Tools O&amp;M'!Print_Area</vt:lpstr>
      <vt:lpstr>'2019 IT Tools O&amp;M'!Print_Area</vt:lpstr>
      <vt:lpstr>'EPMO Contract Labor O&amp;M'!Print_Area</vt:lpstr>
      <vt:lpstr>'EPMO Employee Labor O&amp;M'!Print_Area</vt:lpstr>
      <vt:lpstr>'MOD 26 MOD 27'!Print_Area</vt:lpstr>
      <vt:lpstr>'NERC transmission line veg mgmt'!Print_Area</vt:lpstr>
      <vt:lpstr>'Production CIP v.6 O&amp;M'!Print_Area</vt:lpstr>
      <vt:lpstr>'Transmission CIP v.6 O&amp;M'!Print_Area</vt:lpstr>
      <vt:lpstr>'2018 IT Tools O&amp;M'!Print_Titles</vt:lpstr>
      <vt:lpstr>'2019 IT Tools O&amp;M'!Print_Titles</vt:lpstr>
      <vt:lpstr>'Production CIP v.6 O&amp;M'!Print_Titles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O&amp;M Detail</dc:subject>
  <dc:creator>Graft, Christa L</dc:creator>
  <cp:lastModifiedBy>Coe, Shala</cp:lastModifiedBy>
  <cp:lastPrinted>2020-12-18T19:17:21Z</cp:lastPrinted>
  <dcterms:created xsi:type="dcterms:W3CDTF">2018-02-15T20:46:46Z</dcterms:created>
  <dcterms:modified xsi:type="dcterms:W3CDTF">2020-12-21T18:43:45Z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