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ruce\Desktop\FILINGS\"/>
    </mc:Choice>
  </mc:AlternateContent>
  <xr:revisionPtr revIDLastSave="0" documentId="8_{AC54E68A-CA74-4D22-9FF3-21891B978B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 Page" sheetId="14" r:id="rId1"/>
    <sheet name="Inputs" sheetId="4" state="hidden" r:id="rId2"/>
    <sheet name="Sch 1" sheetId="1" r:id="rId3"/>
    <sheet name="Sch 2 - BS" sheetId="2" r:id="rId4"/>
    <sheet name="Sch 3 - IS" sheetId="3" r:id="rId5"/>
    <sheet name="Sch 4" sheetId="6" r:id="rId6"/>
    <sheet name="Sch 5 - Inc Adj" sheetId="8" r:id="rId7"/>
    <sheet name="Sch 6 - Exp Adj" sheetId="7" r:id="rId8"/>
    <sheet name="Sch 7 - Rate Base" sheetId="5" r:id="rId9"/>
    <sheet name="Sch 8 - Capital Structure" sheetId="10" r:id="rId10"/>
    <sheet name="Sch 9 - Tariff" sheetId="12" r:id="rId11"/>
    <sheet name="Workpapers" sheetId="15" state="hidden" r:id="rId12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NOI">'Sch 4'!$Q$43</definedName>
    <definedName name="_xlnm.Print_Area" localSheetId="2">'Sch 1'!$A$1:$J$105</definedName>
    <definedName name="_xlnm.Print_Area" localSheetId="3">'Sch 2 - BS'!$A$1:$I$111</definedName>
    <definedName name="_xlnm.Print_Area" localSheetId="4">'Sch 3 - IS'!$A$1:$I$92</definedName>
    <definedName name="_xlnm.Print_Area" localSheetId="5">'Sch 4'!$A$1:$Q$79</definedName>
    <definedName name="_xlnm.Print_Area" localSheetId="6">'Sch 5 - Inc Adj'!$A$1:$I$40</definedName>
    <definedName name="_xlnm.Print_Area" localSheetId="7">'Sch 6 - Exp Adj'!$A$1:$I$109</definedName>
    <definedName name="_xlnm.Print_Area" localSheetId="8">'Sch 7 - Rate Base'!$A$1:$I$56</definedName>
    <definedName name="_xlnm.Print_Area" localSheetId="9">'Sch 8 - Capital Structure'!$A$1:$K$19</definedName>
    <definedName name="_xlnm.Print_Area" localSheetId="10">'Sch 9 - Tariff'!$A$1:$J$15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4" l="1"/>
  <c r="G27" i="5"/>
  <c r="F80" i="7" s="1"/>
  <c r="F52" i="7" l="1"/>
  <c r="A98" i="1"/>
  <c r="G33" i="5"/>
  <c r="I27" i="7" l="1"/>
  <c r="I72" i="7"/>
  <c r="E15" i="10"/>
  <c r="E13" i="10"/>
  <c r="E57" i="2"/>
  <c r="E79" i="3"/>
  <c r="E81" i="3" s="1"/>
  <c r="I36" i="5" l="1"/>
  <c r="G36" i="5"/>
  <c r="G35" i="5"/>
  <c r="I35" i="5" s="1"/>
  <c r="G34" i="5"/>
  <c r="I34" i="5" s="1"/>
  <c r="I26" i="5"/>
  <c r="I25" i="5"/>
  <c r="I24" i="5"/>
  <c r="I23" i="5"/>
  <c r="I22" i="5"/>
  <c r="I21" i="5"/>
  <c r="I20" i="5"/>
  <c r="I19" i="5"/>
  <c r="I18" i="5"/>
  <c r="I17" i="5"/>
  <c r="I16" i="5"/>
  <c r="I15" i="5"/>
  <c r="I32" i="5"/>
  <c r="E37" i="5"/>
  <c r="E39" i="5" s="1"/>
  <c r="G37" i="5" l="1"/>
  <c r="I33" i="5"/>
  <c r="J94" i="1" l="1"/>
  <c r="I27" i="2"/>
  <c r="G27" i="2"/>
  <c r="E27" i="2"/>
  <c r="I22" i="2"/>
  <c r="G22" i="2"/>
  <c r="E22" i="2"/>
  <c r="I15" i="2"/>
  <c r="G15" i="2"/>
  <c r="C19" i="4"/>
  <c r="E69" i="6"/>
  <c r="G68" i="7" s="1"/>
  <c r="E60" i="6"/>
  <c r="G106" i="7" s="1"/>
  <c r="F81" i="7"/>
  <c r="F83" i="7" s="1"/>
  <c r="F94" i="1"/>
  <c r="F93" i="1"/>
  <c r="J93" i="1" s="1"/>
  <c r="F90" i="1"/>
  <c r="J90" i="1" s="1"/>
  <c r="F89" i="1"/>
  <c r="J89" i="1" s="1"/>
  <c r="F88" i="1"/>
  <c r="J88" i="1" s="1"/>
  <c r="F86" i="1"/>
  <c r="F85" i="1"/>
  <c r="F87" i="7"/>
  <c r="H44" i="7"/>
  <c r="G38" i="7"/>
  <c r="G40" i="7" s="1"/>
  <c r="H43" i="7" s="1"/>
  <c r="F23" i="8"/>
  <c r="F21" i="8"/>
  <c r="A81" i="1" l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9" i="1" s="1"/>
  <c r="A100" i="1" s="1"/>
  <c r="A101" i="1" s="1"/>
  <c r="A102" i="1" s="1"/>
  <c r="A104" i="1" s="1"/>
  <c r="I46" i="7"/>
  <c r="G64" i="6" s="1"/>
  <c r="F91" i="1" s="1"/>
  <c r="J91" i="1" s="1"/>
  <c r="G55" i="7"/>
  <c r="G89" i="7"/>
  <c r="H93" i="7" s="1"/>
  <c r="E55" i="3" l="1"/>
  <c r="E62" i="6" s="1"/>
  <c r="E16" i="10" l="1"/>
  <c r="E14" i="10"/>
  <c r="D28" i="1"/>
  <c r="D20" i="1" l="1"/>
  <c r="D18" i="1"/>
  <c r="D17" i="1"/>
  <c r="D15" i="1"/>
  <c r="C28" i="1"/>
  <c r="F13" i="12"/>
  <c r="E14" i="2"/>
  <c r="E13" i="2"/>
  <c r="E15" i="2" s="1"/>
  <c r="C9" i="4"/>
  <c r="E53" i="6"/>
  <c r="K53" i="6" s="1"/>
  <c r="Q53" i="6" s="1"/>
  <c r="E35" i="6"/>
  <c r="F23" i="7" s="1"/>
  <c r="I25" i="7" s="1"/>
  <c r="G35" i="6" s="1"/>
  <c r="F82" i="1" s="1"/>
  <c r="B35" i="6"/>
  <c r="B34" i="6"/>
  <c r="I85" i="3"/>
  <c r="I83" i="3"/>
  <c r="I72" i="3"/>
  <c r="I73" i="3"/>
  <c r="C56" i="1"/>
  <c r="C51" i="1"/>
  <c r="K35" i="6" l="1"/>
  <c r="Q35" i="6" s="1"/>
  <c r="C52" i="1"/>
  <c r="C47" i="1"/>
  <c r="E67" i="3" l="1"/>
  <c r="I67" i="3" s="1"/>
  <c r="A65" i="3"/>
  <c r="B75" i="6"/>
  <c r="B74" i="6"/>
  <c r="A73" i="6"/>
  <c r="B71" i="6"/>
  <c r="B70" i="6"/>
  <c r="B69" i="6"/>
  <c r="A68" i="6"/>
  <c r="A67" i="6"/>
  <c r="A66" i="6"/>
  <c r="E71" i="6"/>
  <c r="K71" i="6" s="1"/>
  <c r="Q71" i="6" s="1"/>
  <c r="E61" i="6"/>
  <c r="K61" i="6" s="1"/>
  <c r="Q61" i="6" s="1"/>
  <c r="E59" i="6"/>
  <c r="E58" i="6"/>
  <c r="E57" i="6"/>
  <c r="E56" i="6"/>
  <c r="E55" i="6"/>
  <c r="E54" i="6"/>
  <c r="E52" i="6"/>
  <c r="E51" i="6"/>
  <c r="E50" i="6"/>
  <c r="E47" i="6"/>
  <c r="K47" i="6" s="1"/>
  <c r="E46" i="6"/>
  <c r="E45" i="6"/>
  <c r="E44" i="6"/>
  <c r="E43" i="6"/>
  <c r="E42" i="6"/>
  <c r="E40" i="6"/>
  <c r="K40" i="6" s="1"/>
  <c r="E39" i="6"/>
  <c r="E38" i="6"/>
  <c r="K38" i="6" s="1"/>
  <c r="Q38" i="6" s="1"/>
  <c r="E37" i="6"/>
  <c r="K37" i="6" s="1"/>
  <c r="Q37" i="6" s="1"/>
  <c r="E36" i="6"/>
  <c r="E34" i="6"/>
  <c r="F14" i="7" s="1"/>
  <c r="I16" i="7" s="1"/>
  <c r="G34" i="6" s="1"/>
  <c r="F83" i="1" s="1"/>
  <c r="J83" i="1" s="1"/>
  <c r="B62" i="6"/>
  <c r="B61" i="6"/>
  <c r="B59" i="6"/>
  <c r="B58" i="6"/>
  <c r="C57" i="6"/>
  <c r="C56" i="6"/>
  <c r="C55" i="6"/>
  <c r="C54" i="6"/>
  <c r="B53" i="6"/>
  <c r="B52" i="6"/>
  <c r="B51" i="6"/>
  <c r="B50" i="6"/>
  <c r="C47" i="6"/>
  <c r="C46" i="6"/>
  <c r="C45" i="6"/>
  <c r="C44" i="6"/>
  <c r="C43" i="6"/>
  <c r="C42" i="6"/>
  <c r="B41" i="6"/>
  <c r="B40" i="6"/>
  <c r="B39" i="6"/>
  <c r="B38" i="6"/>
  <c r="B37" i="6"/>
  <c r="B36" i="6"/>
  <c r="E30" i="6"/>
  <c r="K30" i="6" s="1"/>
  <c r="Q30" i="6" s="1"/>
  <c r="E29" i="6"/>
  <c r="K29" i="6" s="1"/>
  <c r="Q29" i="6" s="1"/>
  <c r="E28" i="6"/>
  <c r="K28" i="6" s="1"/>
  <c r="Q28" i="6" s="1"/>
  <c r="E25" i="6"/>
  <c r="K25" i="6" s="1"/>
  <c r="E24" i="6"/>
  <c r="K24" i="6" s="1"/>
  <c r="E23" i="6"/>
  <c r="K23" i="6" s="1"/>
  <c r="E21" i="6"/>
  <c r="K21" i="6" s="1"/>
  <c r="E20" i="6"/>
  <c r="K20" i="6" s="1"/>
  <c r="E19" i="6"/>
  <c r="K19" i="6" s="1"/>
  <c r="E18" i="6"/>
  <c r="K18" i="6" s="1"/>
  <c r="E17" i="6"/>
  <c r="K17" i="6" s="1"/>
  <c r="E14" i="6"/>
  <c r="B30" i="6"/>
  <c r="B29" i="6"/>
  <c r="B28" i="6"/>
  <c r="B25" i="6"/>
  <c r="C24" i="6"/>
  <c r="C23" i="6"/>
  <c r="B22" i="6"/>
  <c r="C21" i="6"/>
  <c r="C20" i="6"/>
  <c r="C19" i="6"/>
  <c r="C18" i="6"/>
  <c r="C17" i="6"/>
  <c r="C14" i="6"/>
  <c r="I89" i="3"/>
  <c r="G89" i="3"/>
  <c r="E89" i="3"/>
  <c r="E56" i="3"/>
  <c r="G56" i="3"/>
  <c r="G79" i="3" s="1"/>
  <c r="I58" i="3"/>
  <c r="I1" i="3"/>
  <c r="G67" i="3"/>
  <c r="A62" i="3"/>
  <c r="A61" i="3"/>
  <c r="I79" i="2"/>
  <c r="G79" i="2"/>
  <c r="E79" i="2"/>
  <c r="I108" i="2"/>
  <c r="G108" i="2"/>
  <c r="E108" i="2"/>
  <c r="I98" i="2"/>
  <c r="G98" i="2"/>
  <c r="E98" i="2"/>
  <c r="I74" i="2"/>
  <c r="G74" i="2"/>
  <c r="E74" i="2"/>
  <c r="I55" i="2"/>
  <c r="G55" i="2"/>
  <c r="E55" i="2"/>
  <c r="I31" i="2"/>
  <c r="G31" i="2"/>
  <c r="E31" i="2"/>
  <c r="A1" i="14"/>
  <c r="M33" i="4"/>
  <c r="C30" i="4"/>
  <c r="J1" i="12"/>
  <c r="J82" i="1"/>
  <c r="J84" i="1"/>
  <c r="J85" i="1"/>
  <c r="J86" i="1"/>
  <c r="J87" i="1"/>
  <c r="F96" i="1"/>
  <c r="J96" i="1" s="1"/>
  <c r="F100" i="1"/>
  <c r="J100" i="1" s="1"/>
  <c r="F101" i="1"/>
  <c r="J101" i="1" s="1"/>
  <c r="D102" i="1"/>
  <c r="E66" i="6"/>
  <c r="G56" i="7" s="1"/>
  <c r="I58" i="7" s="1"/>
  <c r="G66" i="6" s="1"/>
  <c r="K66" i="6" s="1"/>
  <c r="E67" i="6"/>
  <c r="K67" i="6" s="1"/>
  <c r="E70" i="6"/>
  <c r="E74" i="6"/>
  <c r="K74" i="6" s="1"/>
  <c r="E75" i="6"/>
  <c r="K75" i="6" s="1"/>
  <c r="K1" i="10"/>
  <c r="I1" i="5"/>
  <c r="I1" i="7"/>
  <c r="I1" i="8"/>
  <c r="B8" i="10"/>
  <c r="F41" i="1"/>
  <c r="F40" i="1"/>
  <c r="D41" i="1"/>
  <c r="D40" i="1"/>
  <c r="J32" i="1"/>
  <c r="A36" i="1"/>
  <c r="A35" i="1"/>
  <c r="A5" i="12"/>
  <c r="B5" i="10"/>
  <c r="B5" i="5"/>
  <c r="A5" i="7"/>
  <c r="A5" i="8"/>
  <c r="A5" i="6"/>
  <c r="A5" i="3"/>
  <c r="A63" i="2"/>
  <c r="A5" i="2"/>
  <c r="A67" i="1"/>
  <c r="A5" i="1"/>
  <c r="A66" i="2"/>
  <c r="E10" i="2"/>
  <c r="E68" i="2" s="1"/>
  <c r="E10" i="3"/>
  <c r="I10" i="3" s="1"/>
  <c r="E11" i="6"/>
  <c r="A8" i="2"/>
  <c r="A8" i="3"/>
  <c r="C27" i="4"/>
  <c r="J78" i="1"/>
  <c r="F12" i="12"/>
  <c r="A4" i="12"/>
  <c r="D79" i="1"/>
  <c r="B79" i="1"/>
  <c r="B13" i="6"/>
  <c r="B4" i="10"/>
  <c r="B4" i="5"/>
  <c r="A4" i="7"/>
  <c r="A4" i="8"/>
  <c r="A4" i="3"/>
  <c r="A4" i="6"/>
  <c r="Q1" i="6"/>
  <c r="G26" i="3"/>
  <c r="E26" i="3"/>
  <c r="I26" i="3"/>
  <c r="I56" i="3"/>
  <c r="I79" i="3" s="1"/>
  <c r="I87" i="2"/>
  <c r="G87" i="2"/>
  <c r="E87" i="2"/>
  <c r="A62" i="2"/>
  <c r="I59" i="2"/>
  <c r="I1" i="2"/>
  <c r="J63" i="1"/>
  <c r="A4" i="2"/>
  <c r="I48" i="2"/>
  <c r="G48" i="2"/>
  <c r="E48" i="2"/>
  <c r="E24" i="2"/>
  <c r="I24" i="2"/>
  <c r="G24" i="2"/>
  <c r="J73" i="1"/>
  <c r="J72" i="1"/>
  <c r="F73" i="1"/>
  <c r="F72" i="1"/>
  <c r="D73" i="1"/>
  <c r="D72" i="1"/>
  <c r="A66" i="1"/>
  <c r="A4" i="1"/>
  <c r="D104" i="1" l="1"/>
  <c r="H94" i="7"/>
  <c r="I96" i="7" s="1"/>
  <c r="G70" i="6" s="1"/>
  <c r="F99" i="1" s="1"/>
  <c r="J99" i="1" s="1"/>
  <c r="E18" i="10"/>
  <c r="K62" i="6"/>
  <c r="Q62" i="6" s="1"/>
  <c r="Q66" i="6"/>
  <c r="F95" i="1"/>
  <c r="J95" i="1" s="1"/>
  <c r="F24" i="8"/>
  <c r="I26" i="8" s="1"/>
  <c r="G15" i="6" s="1"/>
  <c r="F76" i="1" s="1"/>
  <c r="J76" i="1" s="1"/>
  <c r="G81" i="3"/>
  <c r="G91" i="3" s="1"/>
  <c r="Q40" i="6"/>
  <c r="K46" i="6"/>
  <c r="Q46" i="6" s="1"/>
  <c r="K57" i="6"/>
  <c r="Q57" i="6" s="1"/>
  <c r="K59" i="6"/>
  <c r="Q59" i="6" s="1"/>
  <c r="Q47" i="6"/>
  <c r="K58" i="6"/>
  <c r="Q58" i="6" s="1"/>
  <c r="K39" i="6"/>
  <c r="Q39" i="6" s="1"/>
  <c r="K42" i="6"/>
  <c r="Q42" i="6" s="1"/>
  <c r="K52" i="6"/>
  <c r="Q52" i="6" s="1"/>
  <c r="K50" i="6"/>
  <c r="Q50" i="6" s="1"/>
  <c r="K43" i="6"/>
  <c r="Q43" i="6" s="1"/>
  <c r="K54" i="6"/>
  <c r="Q54" i="6" s="1"/>
  <c r="K34" i="6"/>
  <c r="K44" i="6"/>
  <c r="Q44" i="6" s="1"/>
  <c r="K55" i="6"/>
  <c r="Q55" i="6" s="1"/>
  <c r="K51" i="6"/>
  <c r="Q51" i="6" s="1"/>
  <c r="K36" i="6"/>
  <c r="Q36" i="6" s="1"/>
  <c r="K45" i="6"/>
  <c r="Q45" i="6" s="1"/>
  <c r="K56" i="6"/>
  <c r="Q56" i="6" s="1"/>
  <c r="G10" i="3"/>
  <c r="I10" i="2"/>
  <c r="I68" i="2" s="1"/>
  <c r="G10" i="2"/>
  <c r="G68" i="2" s="1"/>
  <c r="F44" i="1"/>
  <c r="F46" i="1" s="1"/>
  <c r="G57" i="2"/>
  <c r="I57" i="2"/>
  <c r="I30" i="5"/>
  <c r="I37" i="5" s="1"/>
  <c r="G39" i="5"/>
  <c r="E26" i="6"/>
  <c r="E31" i="6" s="1"/>
  <c r="G49" i="5"/>
  <c r="I49" i="5" s="1"/>
  <c r="G50" i="5"/>
  <c r="I50" i="5" s="1"/>
  <c r="E91" i="3"/>
  <c r="E76" i="6"/>
  <c r="E52" i="5"/>
  <c r="E55" i="5" s="1"/>
  <c r="Q67" i="6"/>
  <c r="I110" i="2"/>
  <c r="E110" i="2"/>
  <c r="G110" i="2"/>
  <c r="I12" i="5"/>
  <c r="K70" i="6" l="1"/>
  <c r="Q70" i="6" s="1"/>
  <c r="G15" i="10"/>
  <c r="K15" i="10" s="1"/>
  <c r="G14" i="10"/>
  <c r="G16" i="10"/>
  <c r="G13" i="10"/>
  <c r="F32" i="8"/>
  <c r="F34" i="8" s="1"/>
  <c r="F37" i="8" s="1"/>
  <c r="I39" i="8" s="1"/>
  <c r="F64" i="7"/>
  <c r="Q34" i="6"/>
  <c r="E41" i="5"/>
  <c r="E43" i="5" s="1"/>
  <c r="F52" i="1"/>
  <c r="F47" i="1"/>
  <c r="F49" i="1" s="1"/>
  <c r="I27" i="5"/>
  <c r="I39" i="5" s="1"/>
  <c r="E78" i="6"/>
  <c r="I113" i="2"/>
  <c r="G113" i="2"/>
  <c r="E113" i="2"/>
  <c r="G67" i="7" l="1"/>
  <c r="I70" i="7" s="1"/>
  <c r="G69" i="6" s="1"/>
  <c r="G18" i="10"/>
  <c r="K13" i="10"/>
  <c r="G16" i="6"/>
  <c r="F77" i="1" s="1"/>
  <c r="F54" i="1"/>
  <c r="K69" i="6" l="1"/>
  <c r="F98" i="1"/>
  <c r="J77" i="1"/>
  <c r="J79" i="1" s="1"/>
  <c r="F79" i="1"/>
  <c r="K14" i="6"/>
  <c r="F102" i="7" s="1"/>
  <c r="G26" i="6"/>
  <c r="G31" i="6" s="1"/>
  <c r="J98" i="1"/>
  <c r="F58" i="1"/>
  <c r="F60" i="1" s="1"/>
  <c r="F19" i="1" s="1"/>
  <c r="G105" i="7" l="1"/>
  <c r="I108" i="7" s="1"/>
  <c r="G60" i="6" s="1"/>
  <c r="G48" i="5"/>
  <c r="I48" i="5" s="1"/>
  <c r="Q69" i="6"/>
  <c r="K26" i="6"/>
  <c r="K31" i="6" s="1"/>
  <c r="J19" i="1"/>
  <c r="G76" i="6" l="1"/>
  <c r="G78" i="6" s="1"/>
  <c r="K60" i="6"/>
  <c r="F92" i="1"/>
  <c r="F102" i="1" s="1"/>
  <c r="F104" i="1" s="1"/>
  <c r="F107" i="1" l="1"/>
  <c r="J92" i="1"/>
  <c r="J102" i="1" s="1"/>
  <c r="J104" i="1" s="1"/>
  <c r="K76" i="6"/>
  <c r="K78" i="6" s="1"/>
  <c r="F17" i="1" s="1"/>
  <c r="J17" i="1" s="1"/>
  <c r="K104" i="1" s="1"/>
  <c r="G47" i="5"/>
  <c r="I81" i="3"/>
  <c r="I91" i="3" s="1"/>
  <c r="G52" i="5" l="1"/>
  <c r="G55" i="5" s="1"/>
  <c r="I47" i="5"/>
  <c r="I52" i="5" s="1"/>
  <c r="K16" i="10"/>
  <c r="K14" i="10"/>
  <c r="G41" i="5" l="1"/>
  <c r="I55" i="5"/>
  <c r="K18" i="10"/>
  <c r="F14" i="1" s="1"/>
  <c r="J14" i="1" s="1"/>
  <c r="G43" i="5" l="1"/>
  <c r="F13" i="1" s="1"/>
  <c r="J13" i="1" s="1"/>
  <c r="I41" i="5"/>
  <c r="I43" i="5" s="1"/>
  <c r="F15" i="1" l="1"/>
  <c r="F18" i="1" s="1"/>
  <c r="F20" i="1" s="1"/>
  <c r="M26" i="6" s="1"/>
  <c r="M31" i="6" s="1"/>
  <c r="J20" i="1" l="1"/>
  <c r="J43" i="1"/>
  <c r="J47" i="1" s="1"/>
  <c r="M60" i="6" s="1"/>
  <c r="Q60" i="6" s="1"/>
  <c r="M14" i="6"/>
  <c r="Q14" i="6" s="1"/>
  <c r="F22" i="1"/>
  <c r="H13" i="12" s="1"/>
  <c r="J13" i="12" s="1"/>
  <c r="J15" i="1"/>
  <c r="J18" i="1"/>
  <c r="J51" i="1"/>
  <c r="M74" i="6" s="1"/>
  <c r="J56" i="1"/>
  <c r="M75" i="6" s="1"/>
  <c r="M17" i="6"/>
  <c r="Q17" i="6" s="1"/>
  <c r="M18" i="6"/>
  <c r="Q18" i="6" s="1"/>
  <c r="M24" i="6"/>
  <c r="Q24" i="6" s="1"/>
  <c r="M19" i="6"/>
  <c r="Q19" i="6" s="1"/>
  <c r="M21" i="6"/>
  <c r="Q21" i="6" s="1"/>
  <c r="M20" i="6"/>
  <c r="Q20" i="6" s="1"/>
  <c r="M23" i="6"/>
  <c r="Q23" i="6" s="1"/>
  <c r="M25" i="6"/>
  <c r="Q25" i="6" s="1"/>
  <c r="J52" i="1"/>
  <c r="J44" i="1"/>
  <c r="J22" i="1" l="1"/>
  <c r="H12" i="12"/>
  <c r="J12" i="12" s="1"/>
  <c r="F28" i="1"/>
  <c r="J28" i="1" s="1"/>
  <c r="Q26" i="6"/>
  <c r="M76" i="6"/>
  <c r="M78" i="6" s="1"/>
  <c r="J58" i="1"/>
  <c r="Q74" i="6"/>
  <c r="Q31" i="6" l="1"/>
  <c r="Q75" i="6"/>
  <c r="Q76" i="6" s="1"/>
  <c r="Q78" i="6" l="1"/>
  <c r="R7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 Stull</author>
    <author>mstull</author>
  </authors>
  <commentList>
    <comment ref="C8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Input month and day test year ends as text, i.e., 'January 31</t>
        </r>
      </text>
    </comment>
    <comment ref="E8" authorId="0" shapeId="0" xr:uid="{00000000-0006-0000-0100-000002000000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Input year test year ends
</t>
        </r>
      </text>
    </comment>
    <comment ref="C9" authorId="0" shapeId="0" xr:uid="{00000000-0006-0000-0100-000003000000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Input in date format, i.e., 01/31/05</t>
        </r>
      </text>
    </comment>
    <comment ref="C11" authorId="1" shapeId="0" xr:uid="{00000000-0006-0000-0100-000004000000}">
      <text>
        <r>
          <rPr>
            <b/>
            <sz val="14"/>
            <color indexed="81"/>
            <rFont val="Tahoma"/>
            <family val="2"/>
          </rPr>
          <t>mstull:</t>
        </r>
        <r>
          <rPr>
            <sz val="14"/>
            <color indexed="81"/>
            <rFont val="Tahoma"/>
            <family val="2"/>
          </rPr>
          <t xml:space="preserve">
Input peparer's 2 or 3 digit initials.
Example - "MAS" for Margaret Stull</t>
        </r>
      </text>
    </comment>
    <comment ref="C19" authorId="0" shapeId="0" xr:uid="{00000000-0006-0000-0100-000005000000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Input appropriate composite rate from table at right or rate from Utility's depreciation study</t>
        </r>
      </text>
    </comment>
    <comment ref="C22" authorId="0" shapeId="0" xr:uid="{AFE2066E-F655-4FA8-96C3-4C3FB4651A7D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See Shawn Dellinger for current interest rate
</t>
        </r>
      </text>
    </comment>
    <comment ref="C24" authorId="1" shapeId="0" xr:uid="{725ED2FB-1E8F-4F80-84DA-1548C4A5BE17}">
      <text>
        <r>
          <rPr>
            <b/>
            <sz val="14"/>
            <color indexed="81"/>
            <rFont val="Tahoma"/>
            <family val="2"/>
          </rPr>
          <t>mstull:</t>
        </r>
        <r>
          <rPr>
            <sz val="14"/>
            <color indexed="81"/>
            <rFont val="Tahoma"/>
            <family val="2"/>
          </rPr>
          <t xml:space="preserve">
Input appropriate code for gallons or cubic feet from Column G.</t>
        </r>
      </text>
    </comment>
    <comment ref="C30" authorId="1" shapeId="0" xr:uid="{722323DE-01FD-4D73-BC62-5C77212F32D1}">
      <text>
        <r>
          <rPr>
            <b/>
            <sz val="14"/>
            <color indexed="81"/>
            <rFont val="Tahoma"/>
            <family val="2"/>
          </rPr>
          <t>mstull:</t>
        </r>
        <r>
          <rPr>
            <sz val="14"/>
            <color indexed="81"/>
            <rFont val="Tahoma"/>
            <family val="2"/>
          </rPr>
          <t xml:space="preserve">
Input appropriate code for state tax rate  from Column J or M.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 Stull</author>
  </authors>
  <commentList>
    <comment ref="E49" authorId="0" shapeId="0" xr:uid="{00000000-0006-0000-0800-000001000000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Input total of test year expense +/- any adjustments from Schedule 6
</t>
        </r>
      </text>
    </comment>
    <comment ref="G49" authorId="0" shapeId="0" xr:uid="{00000000-0006-0000-0800-000002000000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Input total of test year expense +/- any adjustments from Schedule 6
</t>
        </r>
      </text>
    </comment>
    <comment ref="E50" authorId="0" shapeId="0" xr:uid="{00000000-0006-0000-0800-000003000000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Input total of test year expense +/- any adjustments from Schedule 6
</t>
        </r>
      </text>
    </comment>
    <comment ref="G50" authorId="0" shapeId="0" xr:uid="{EA505D0A-EF9F-457B-B176-A6D063AD01BC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Input total of test year expense +/- any adjustments from Schedule 6
</t>
        </r>
      </text>
    </comment>
  </commentList>
</comments>
</file>

<file path=xl/sharedStrings.xml><?xml version="1.0" encoding="utf-8"?>
<sst xmlns="http://schemas.openxmlformats.org/spreadsheetml/2006/main" count="491" uniqueCount="380">
  <si>
    <t>Office of Utility Consumer Counselor</t>
  </si>
  <si>
    <t>Schedules and Workpapers  (Excel Version)</t>
  </si>
  <si>
    <t>Template - Investor Owned Utility ("IOU")</t>
  </si>
  <si>
    <t xml:space="preserve">Inputs </t>
  </si>
  <si>
    <t>Manual Input</t>
  </si>
  <si>
    <t>Calculation</t>
  </si>
  <si>
    <t>Utility Name</t>
  </si>
  <si>
    <t>Pleasantview Wastewater</t>
  </si>
  <si>
    <t>Cause Number</t>
  </si>
  <si>
    <t>46122-U</t>
  </si>
  <si>
    <t>Test Year Ending</t>
  </si>
  <si>
    <t>December 31</t>
  </si>
  <si>
    <t>Workpaper Name</t>
  </si>
  <si>
    <t>JTC</t>
  </si>
  <si>
    <t>IURC Fee</t>
  </si>
  <si>
    <t>As of 7/2024</t>
  </si>
  <si>
    <t>Update annually in July by IURC</t>
  </si>
  <si>
    <t>Utility Receipts Tax</t>
  </si>
  <si>
    <t>As of 1/1/22</t>
  </si>
  <si>
    <t>Tax Repealed as of July 1, 2022</t>
  </si>
  <si>
    <t>Composite Depreciation Rates:</t>
  </si>
  <si>
    <t>Water</t>
  </si>
  <si>
    <t>Sewer</t>
  </si>
  <si>
    <t>Depreciation Rate</t>
  </si>
  <si>
    <t>Treatment Plant</t>
  </si>
  <si>
    <t>No Treatment Plant</t>
  </si>
  <si>
    <t>Interest Rate</t>
  </si>
  <si>
    <t>Cell C18 input codes</t>
  </si>
  <si>
    <t>Gallons</t>
  </si>
  <si>
    <t>Current Fixed Sewer Rate</t>
  </si>
  <si>
    <t>Cubic Feet</t>
  </si>
  <si>
    <t>Current Rate for 700 cubic feet</t>
  </si>
  <si>
    <t>Bad Debt %</t>
  </si>
  <si>
    <t>Based on test year experience</t>
  </si>
  <si>
    <t>State Income Tax Rates:</t>
  </si>
  <si>
    <t>State Income Tax Rate</t>
  </si>
  <si>
    <t>Link to rate that corresponds to period rates will be in effect</t>
  </si>
  <si>
    <t>Federal Income Tax Rate</t>
  </si>
  <si>
    <t>TCJA - Rate Effective as of 1/1/2018</t>
  </si>
  <si>
    <t>Thereafter</t>
  </si>
  <si>
    <t>OUCC</t>
  </si>
  <si>
    <t>Schedule 1</t>
  </si>
  <si>
    <t>Page 1 of 3</t>
  </si>
  <si>
    <t>Comparison of Petitioner's and OUCC's</t>
  </si>
  <si>
    <t>Revenue Requirements</t>
  </si>
  <si>
    <t>Per</t>
  </si>
  <si>
    <t>Sch</t>
  </si>
  <si>
    <t>Petitioner</t>
  </si>
  <si>
    <t>Ref</t>
  </si>
  <si>
    <t>More (Less)</t>
  </si>
  <si>
    <t>Original Cost Rate Base</t>
  </si>
  <si>
    <t>Times:  Weighted Cost of Capital</t>
  </si>
  <si>
    <t>Net Operating Income Required for</t>
  </si>
  <si>
    <t xml:space="preserve">    Return on Rate base</t>
  </si>
  <si>
    <t>Less:  Adjusted Net Operating Income</t>
  </si>
  <si>
    <t>Net Revenue Requirement</t>
  </si>
  <si>
    <t>Gross Revenue Conversion Factor</t>
  </si>
  <si>
    <t>Recommended Revenue Increase</t>
  </si>
  <si>
    <t>Recommended Percentage Increase</t>
  </si>
  <si>
    <t>Proposed</t>
  </si>
  <si>
    <t>Page 2 of 3</t>
  </si>
  <si>
    <t>Gross revenue Change</t>
  </si>
  <si>
    <t xml:space="preserve">Less:  </t>
  </si>
  <si>
    <t>Bad Debt Rate</t>
  </si>
  <si>
    <t>Sub-total</t>
  </si>
  <si>
    <t>Less:</t>
  </si>
  <si>
    <t>Income Before State Income taxes</t>
  </si>
  <si>
    <t xml:space="preserve">Less: </t>
  </si>
  <si>
    <t>Income before Federal income Taxes</t>
  </si>
  <si>
    <t>Change in Operating Income</t>
  </si>
  <si>
    <t>Page 3 of 3</t>
  </si>
  <si>
    <t>Reconciliation of Net Operating Income Statement Adjustments</t>
  </si>
  <si>
    <r>
      <t>Pro-forma</t>
    </r>
    <r>
      <rPr>
        <b/>
        <sz val="12"/>
        <rFont val="Times New Roman"/>
        <family val="1"/>
      </rPr>
      <t xml:space="preserve"> Present Rates</t>
    </r>
  </si>
  <si>
    <t>Operating Revenues</t>
  </si>
  <si>
    <t>Test Year Billing Records</t>
  </si>
  <si>
    <t>Residential Normalization</t>
  </si>
  <si>
    <t>O&amp;M Expense</t>
  </si>
  <si>
    <t>Salaries and Wages - M. Sherck</t>
  </si>
  <si>
    <t>Salaries and Wages - A. Sherck</t>
  </si>
  <si>
    <t>Salaries and Wages - New Employee</t>
  </si>
  <si>
    <t>Purchased Wastewater - Additional Bills</t>
  </si>
  <si>
    <t>Purchased Power - Additional Bills</t>
  </si>
  <si>
    <t>Contractual Services - Convert Labor</t>
  </si>
  <si>
    <t>Insurance Expense</t>
  </si>
  <si>
    <t>Rate Case Expense</t>
  </si>
  <si>
    <t>Miscellaneous Expense - Postage</t>
  </si>
  <si>
    <t>Miscellaneous Expense - Telephone</t>
  </si>
  <si>
    <t>Contractual Services - Operator Contract</t>
  </si>
  <si>
    <t>Contractual Services - Sludge Removal</t>
  </si>
  <si>
    <t>Depreciation Expense</t>
  </si>
  <si>
    <t>Amortization Expense</t>
  </si>
  <si>
    <t>Taxes Other than Income:</t>
  </si>
  <si>
    <t>Payroll Tax</t>
  </si>
  <si>
    <t>Property Tax</t>
  </si>
  <si>
    <t>State Income Tax</t>
  </si>
  <si>
    <t>Federal Income Tax</t>
  </si>
  <si>
    <t>Total Operating Expenses</t>
  </si>
  <si>
    <t>Net Operating Income</t>
  </si>
  <si>
    <t>Check Number</t>
  </si>
  <si>
    <t>check number</t>
  </si>
  <si>
    <t>Schedule 2</t>
  </si>
  <si>
    <t>Page 1 of 1</t>
  </si>
  <si>
    <t>COMPARATIVE BALANCE SHEET</t>
  </si>
  <si>
    <t>ASSETS</t>
  </si>
  <si>
    <t>Utility Plant:</t>
  </si>
  <si>
    <t>Water Utility Plant in Service</t>
  </si>
  <si>
    <t>Less:  Water Accumulated Depreciation</t>
  </si>
  <si>
    <t>Net Water Utility Plant in Service</t>
  </si>
  <si>
    <t>Wastewater Utility Plant in Service</t>
  </si>
  <si>
    <t>Construction Work in Progress</t>
  </si>
  <si>
    <t>Property Held for Future Use</t>
  </si>
  <si>
    <t>Less:  Wastewater Accumulated Depreciation</t>
  </si>
  <si>
    <t>Less:  Accumulated Amortization</t>
  </si>
  <si>
    <t>Net Wastewater Utility Plant in Service</t>
  </si>
  <si>
    <t>Net Utility Plant in Service</t>
  </si>
  <si>
    <t>Utility Plant Acquisition Adjustment (Net)</t>
  </si>
  <si>
    <t>Other Utility Plant Adjustments</t>
  </si>
  <si>
    <t>Total Net Utility Plant in Service</t>
  </si>
  <si>
    <t>Nonutility Property</t>
  </si>
  <si>
    <t>Less: Accumulated Depreciation</t>
  </si>
  <si>
    <t>Net Nonutility Property</t>
  </si>
  <si>
    <t>Current Assets:</t>
  </si>
  <si>
    <t>Cash and Cash Equivalents</t>
  </si>
  <si>
    <t>Special Deposits</t>
  </si>
  <si>
    <t>Temporary Cash Investments</t>
  </si>
  <si>
    <t>Customer Accounts Receivable</t>
  </si>
  <si>
    <t>Provision for Uncollectible Accounts</t>
  </si>
  <si>
    <t>Other Accounts Receivable</t>
  </si>
  <si>
    <t>Accounts Receivable - Associated Companies</t>
  </si>
  <si>
    <t>Notes Receivable</t>
  </si>
  <si>
    <t>Materials and Supplies Inventory</t>
  </si>
  <si>
    <t>Prepayments</t>
  </si>
  <si>
    <t>Accrued Interest and Dividends Receivable</t>
  </si>
  <si>
    <t>Accrued Interest</t>
  </si>
  <si>
    <t>Accrued Utility Revenues</t>
  </si>
  <si>
    <t>Other Current Assets</t>
  </si>
  <si>
    <t>Total Current Assets</t>
  </si>
  <si>
    <t>Deferred Debits</t>
  </si>
  <si>
    <t>Deferred Regulatory Assets</t>
  </si>
  <si>
    <t>Unamortized Debt Discount and Expense</t>
  </si>
  <si>
    <t>Accumulated Deferred Income Taxes</t>
  </si>
  <si>
    <t>Miscellaneous Deferred Debits</t>
  </si>
  <si>
    <t>Total Deferred Debits</t>
  </si>
  <si>
    <t>Total Assets</t>
  </si>
  <si>
    <t>Page 2 of 2</t>
  </si>
  <si>
    <t>LIABILITIES</t>
  </si>
  <si>
    <t>Equity</t>
  </si>
  <si>
    <t>Common Stock Issued</t>
  </si>
  <si>
    <t>Preferred Stock Issued</t>
  </si>
  <si>
    <t>Other Paid-in Capital</t>
  </si>
  <si>
    <t>Retained Earnings</t>
  </si>
  <si>
    <t>Total Equity</t>
  </si>
  <si>
    <t>Contributions in Aid of Construction</t>
  </si>
  <si>
    <t>Accumulated Amortization of CIAC</t>
  </si>
  <si>
    <t>Net Contributions in Aid of Construction</t>
  </si>
  <si>
    <t>Long-term Debt</t>
  </si>
  <si>
    <t>Bonds Payable - Series A</t>
  </si>
  <si>
    <t>Bonds Payable - Series B</t>
  </si>
  <si>
    <t>Notes Payable</t>
  </si>
  <si>
    <t>Notes Payable to Associated Companies</t>
  </si>
  <si>
    <t>Other Long-Term Debt</t>
  </si>
  <si>
    <t>Total Long-term Debt</t>
  </si>
  <si>
    <t>Current Liabilities</t>
  </si>
  <si>
    <t>Accounts Payable</t>
  </si>
  <si>
    <t>Accounts Payable - Associated Companies</t>
  </si>
  <si>
    <t>Current Portion of Long-term Debt</t>
  </si>
  <si>
    <t>Customer Deposits</t>
  </si>
  <si>
    <t>Accrued Wages</t>
  </si>
  <si>
    <t>Accrued Taxes</t>
  </si>
  <si>
    <t>Other Current Liabilities</t>
  </si>
  <si>
    <t>Total Current Liabilities</t>
  </si>
  <si>
    <t>Deferred Credits</t>
  </si>
  <si>
    <t>Deferred Regulatory Liabilities</t>
  </si>
  <si>
    <t>Unamortized Premium on Debt</t>
  </si>
  <si>
    <t>Miscellaneous Operating Reserves</t>
  </si>
  <si>
    <t>Advances for Construction</t>
  </si>
  <si>
    <t>Accumulated Deferred Investment Tax Credits</t>
  </si>
  <si>
    <t>Other Deferred credits</t>
  </si>
  <si>
    <t>Total Deferred credits</t>
  </si>
  <si>
    <t>Total Liabilities</t>
  </si>
  <si>
    <t>Schedule 3</t>
  </si>
  <si>
    <t>COMPARATIVE INCOME STATEMENT</t>
  </si>
  <si>
    <t>Wastewater Operating Revenues</t>
  </si>
  <si>
    <t>Residential</t>
  </si>
  <si>
    <t>Commercial</t>
  </si>
  <si>
    <t>Industrial</t>
  </si>
  <si>
    <t>Public Authority</t>
  </si>
  <si>
    <t>Multi-Family</t>
  </si>
  <si>
    <t>Sales for Resale</t>
  </si>
  <si>
    <t>Fire Protection</t>
  </si>
  <si>
    <t>Public</t>
  </si>
  <si>
    <t>Private</t>
  </si>
  <si>
    <t>Late Payemnt Fees</t>
  </si>
  <si>
    <t>Miscellaneous Service Revenues</t>
  </si>
  <si>
    <t>Rents from Water Property</t>
  </si>
  <si>
    <t>Other Water Revenues</t>
  </si>
  <si>
    <t>Total Operating Revenues</t>
  </si>
  <si>
    <t>Operating Expenses</t>
  </si>
  <si>
    <t>Salaries and Wages - Employees</t>
  </si>
  <si>
    <t>Salaries and Wages - Officers</t>
  </si>
  <si>
    <t>Employee Benefits</t>
  </si>
  <si>
    <t>Purchased Wastewater Treatment</t>
  </si>
  <si>
    <t>Purchased Power</t>
  </si>
  <si>
    <t>Chemicals</t>
  </si>
  <si>
    <t>Materials and Supplies</t>
  </si>
  <si>
    <t>Contractual Services</t>
  </si>
  <si>
    <t>Accounting</t>
  </si>
  <si>
    <t>Engineering</t>
  </si>
  <si>
    <t>Legal</t>
  </si>
  <si>
    <t>Management Fees</t>
  </si>
  <si>
    <t>Testing</t>
  </si>
  <si>
    <t>Other</t>
  </si>
  <si>
    <t>Rental of Building/Real Property</t>
  </si>
  <si>
    <t>Rental of Equipment</t>
  </si>
  <si>
    <t>Transportation Expense</t>
  </si>
  <si>
    <t>Insurance</t>
  </si>
  <si>
    <t>Vehicle</t>
  </si>
  <si>
    <t>General Liability</t>
  </si>
  <si>
    <t>Workers' Compensation</t>
  </si>
  <si>
    <t>Advertising Expense</t>
  </si>
  <si>
    <t>Bad Debt Expense</t>
  </si>
  <si>
    <t>Miscellaneous Expense</t>
  </si>
  <si>
    <t>Total O&amp;M Expense</t>
  </si>
  <si>
    <t>Other Taxes</t>
  </si>
  <si>
    <t>Income Taxes:</t>
  </si>
  <si>
    <t>I.T., Extraordinary Items</t>
  </si>
  <si>
    <t>Non-Utility Income</t>
  </si>
  <si>
    <t>Interest Expense</t>
  </si>
  <si>
    <t>Amortization of Debt Discount</t>
  </si>
  <si>
    <t>amortization of Debt Premium</t>
  </si>
  <si>
    <t>Total Other Income (Expense)</t>
  </si>
  <si>
    <t>Net Income</t>
  </si>
  <si>
    <t>Schedule 4</t>
  </si>
  <si>
    <r>
      <t>Pro-forma</t>
    </r>
    <r>
      <rPr>
        <b/>
        <sz val="12"/>
        <rFont val="Times New Roman"/>
        <family val="1"/>
      </rPr>
      <t xml:space="preserve"> Net Operating Income Statement</t>
    </r>
  </si>
  <si>
    <t>Test Year</t>
  </si>
  <si>
    <t>Pro forma</t>
  </si>
  <si>
    <t>Ended</t>
  </si>
  <si>
    <t>Present</t>
  </si>
  <si>
    <t>Adjustments</t>
  </si>
  <si>
    <t>Rates</t>
  </si>
  <si>
    <t xml:space="preserve">   Billing Records</t>
  </si>
  <si>
    <t>5-1</t>
  </si>
  <si>
    <t xml:space="preserve">   Normalization</t>
  </si>
  <si>
    <t>5-2</t>
  </si>
  <si>
    <t>Revenues Subject to Increase</t>
  </si>
  <si>
    <t>6-1</t>
  </si>
  <si>
    <t>6-2</t>
  </si>
  <si>
    <t>Pet</t>
  </si>
  <si>
    <t xml:space="preserve">   Sewer Operator Contract</t>
  </si>
  <si>
    <t xml:space="preserve">   Sludge Removal</t>
  </si>
  <si>
    <t>6-7</t>
  </si>
  <si>
    <t>Postage</t>
  </si>
  <si>
    <t>Telephone Expense</t>
  </si>
  <si>
    <t>6-3</t>
  </si>
  <si>
    <t>6-4</t>
  </si>
  <si>
    <t>6-5</t>
  </si>
  <si>
    <t>6-6</t>
  </si>
  <si>
    <t>Net Income should equal Sch. 1, cell F15</t>
  </si>
  <si>
    <t>Schedule 5</t>
  </si>
  <si>
    <t>OUCC Revenue Adjustments</t>
  </si>
  <si>
    <t>(1)</t>
  </si>
  <si>
    <t>To correct test year revenues using revenues reported in Applicant's billing records</t>
  </si>
  <si>
    <t>Total Amount Paid</t>
  </si>
  <si>
    <t>Less: Sales Tax Paid</t>
  </si>
  <si>
    <t>Amount Paid Less Sales Tax</t>
  </si>
  <si>
    <t>Total Water Service Billings</t>
  </si>
  <si>
    <t>Total Sewer Service Billings</t>
  </si>
  <si>
    <t>Total Billings</t>
  </si>
  <si>
    <t>Pro Rata Sewer %</t>
  </si>
  <si>
    <t>Collected T.Y. Water Revenues</t>
  </si>
  <si>
    <t>IURC Reported T.Y. Revenues</t>
  </si>
  <si>
    <t>Adjustment Increase (Decrease)</t>
  </si>
  <si>
    <t>(2)</t>
  </si>
  <si>
    <t>Normalization</t>
  </si>
  <si>
    <t>To adjust test year residential sales to normalize the change in the number of test year customers</t>
  </si>
  <si>
    <t>Test Year Residential Sales</t>
  </si>
  <si>
    <t>Divided: 12-Month # Residential Customers</t>
  </si>
  <si>
    <t>Average Bill Per Residential Customer</t>
  </si>
  <si>
    <t>Number of Additional Bills</t>
  </si>
  <si>
    <t>Times: Average Residential Bill</t>
  </si>
  <si>
    <t>Schedule 6</t>
  </si>
  <si>
    <t>OUCC Expense Adjustments</t>
  </si>
  <si>
    <t>A. Sherck Salary &amp; Wage</t>
  </si>
  <si>
    <t>To adjust the salary of A. Sherck to the last approved salary</t>
  </si>
  <si>
    <t>Approved Cause No. 44351-U Salary</t>
  </si>
  <si>
    <t>Less: Test Year Salary</t>
  </si>
  <si>
    <t>M. Sherck Salary &amp; Wage</t>
  </si>
  <si>
    <t>To adjust the salary of M. Sherck to the last approved salary</t>
  </si>
  <si>
    <t>(3)</t>
  </si>
  <si>
    <t>To adjust test year phone bill expenditures to only include one line rather than five</t>
  </si>
  <si>
    <t>M. Sherck Phone Line</t>
  </si>
  <si>
    <t>VZ Mobile Protect MD (One Line)</t>
  </si>
  <si>
    <t>Verizon Home Device Protection</t>
  </si>
  <si>
    <t>Monthly Phone Bill (One Line)</t>
  </si>
  <si>
    <t>Times: 12 Months</t>
  </si>
  <si>
    <t>Yearly Phone Bill (One Line)</t>
  </si>
  <si>
    <t>Divide: 2 (Utility Allocation)</t>
  </si>
  <si>
    <r>
      <rPr>
        <i/>
        <sz val="12"/>
        <rFont val="Times New Roman"/>
        <family val="1"/>
      </rPr>
      <t xml:space="preserve">Pro forma </t>
    </r>
    <r>
      <rPr>
        <sz val="12"/>
        <rFont val="Times New Roman"/>
        <family val="1"/>
      </rPr>
      <t>Telephone Expense - Sewer Allocation</t>
    </r>
  </si>
  <si>
    <t>Less: Sewer Test Year Telephone Expense</t>
  </si>
  <si>
    <t>(4)</t>
  </si>
  <si>
    <t>To adjust test year depreciation expense using adjusted utility plant in service</t>
  </si>
  <si>
    <t>Utility Plant in Service as of 12/31/23</t>
  </si>
  <si>
    <t>Times: Commission's Composite Rate</t>
  </si>
  <si>
    <r>
      <rPr>
        <i/>
        <sz val="12"/>
        <rFont val="Times New Roman"/>
        <family val="1"/>
      </rPr>
      <t>Pro forma</t>
    </r>
    <r>
      <rPr>
        <sz val="12"/>
        <rFont val="Times New Roman"/>
        <family val="1"/>
      </rPr>
      <t xml:space="preserve"> Depreciation Expense</t>
    </r>
  </si>
  <si>
    <t>Less: Test Year Depreciation Expense</t>
  </si>
  <si>
    <t>(5)</t>
  </si>
  <si>
    <t>Payroll Taxes</t>
  </si>
  <si>
    <t>To adjust payroll taxes using adjusted salaries and wages</t>
  </si>
  <si>
    <t>Total Adjusted Salaries and Wages</t>
  </si>
  <si>
    <t>Times: FICA Tax Rate</t>
  </si>
  <si>
    <r>
      <rPr>
        <i/>
        <sz val="12"/>
        <rFont val="Times New Roman"/>
        <family val="1"/>
      </rPr>
      <t>Pro forma</t>
    </r>
    <r>
      <rPr>
        <sz val="12"/>
        <rFont val="Times New Roman"/>
        <family val="1"/>
      </rPr>
      <t xml:space="preserve"> Payroll Tax</t>
    </r>
  </si>
  <si>
    <t>Less: Test Year Payroll Tax</t>
  </si>
  <si>
    <t>(6)</t>
  </si>
  <si>
    <t>Property Taxes</t>
  </si>
  <si>
    <t>To adjust property taxes to pro rata personal property, include 100% real property, and recognize tax credits</t>
  </si>
  <si>
    <t>Water UPIS as of 12/31/23</t>
  </si>
  <si>
    <t>Sewer UPIS as of 12/31/23</t>
  </si>
  <si>
    <t>Total UPIS</t>
  </si>
  <si>
    <t>Sewer Pro Rata %</t>
  </si>
  <si>
    <t>Gross Personal Property Tax</t>
  </si>
  <si>
    <t>Less: Local Tax Credits</t>
  </si>
  <si>
    <t>Net Personal Property Tax Liability</t>
  </si>
  <si>
    <t>Sewer Net Personal Property Tax Expense</t>
  </si>
  <si>
    <t>Add: Sewer Gross Real Property Tax Expense</t>
  </si>
  <si>
    <t>Less: Real Property Local Tax Credits</t>
  </si>
  <si>
    <r>
      <rPr>
        <i/>
        <sz val="12"/>
        <rFont val="Times New Roman"/>
        <family val="1"/>
      </rPr>
      <t>Pro forma</t>
    </r>
    <r>
      <rPr>
        <sz val="12"/>
        <rFont val="Times New Roman"/>
        <family val="1"/>
      </rPr>
      <t xml:space="preserve"> Sewer Net Property Tax Expense</t>
    </r>
  </si>
  <si>
    <t>Less: Test Year Property Tax Expense</t>
  </si>
  <si>
    <t>(7)</t>
  </si>
  <si>
    <t>To adjust test year IURC fee using adjusted test year revenues and 24-25 IURC Fee</t>
  </si>
  <si>
    <t>Adjusted Test Year Revenues</t>
  </si>
  <si>
    <t>Times: 24-25 IURC Fee</t>
  </si>
  <si>
    <r>
      <rPr>
        <i/>
        <sz val="12"/>
        <rFont val="Times New Roman"/>
        <family val="1"/>
      </rPr>
      <t xml:space="preserve">Pro forma </t>
    </r>
    <r>
      <rPr>
        <sz val="12"/>
        <rFont val="Times New Roman"/>
        <family val="1"/>
      </rPr>
      <t>IURC Fee</t>
    </r>
  </si>
  <si>
    <t>Less: Test Year IURC Fee</t>
  </si>
  <si>
    <t>Schedule 7</t>
  </si>
  <si>
    <t>Calculation of Rate Base</t>
  </si>
  <si>
    <r>
      <rPr>
        <b/>
        <i/>
        <sz val="12"/>
        <rFont val="Times New Roman"/>
        <family val="1"/>
      </rPr>
      <t>Utility Plant in Service</t>
    </r>
    <r>
      <rPr>
        <b/>
        <sz val="12"/>
        <rFont val="Times New Roman"/>
        <family val="1"/>
      </rPr>
      <t xml:space="preserve"> as of December 31, 2023</t>
    </r>
  </si>
  <si>
    <r>
      <rPr>
        <b/>
        <i/>
        <sz val="12"/>
        <rFont val="Times New Roman"/>
        <family val="1"/>
      </rPr>
      <t>Utility Plant in Service</t>
    </r>
    <r>
      <rPr>
        <b/>
        <sz val="12"/>
        <rFont val="Times New Roman"/>
        <family val="1"/>
      </rPr>
      <t xml:space="preserve"> as of CN 44351-U                   (</t>
    </r>
    <r>
      <rPr>
        <sz val="12"/>
        <rFont val="Times New Roman"/>
        <family val="1"/>
      </rPr>
      <t>Phase 2 - As Adjusted</t>
    </r>
    <r>
      <rPr>
        <b/>
        <sz val="12"/>
        <rFont val="Times New Roman"/>
        <family val="1"/>
      </rPr>
      <t>)</t>
    </r>
  </si>
  <si>
    <t>Additions:</t>
  </si>
  <si>
    <t>2016 - Dump Truck</t>
  </si>
  <si>
    <t>2019 - Communication Equipment</t>
  </si>
  <si>
    <t>2020 - Bushhog Mower</t>
  </si>
  <si>
    <t xml:space="preserve">         - Blower</t>
  </si>
  <si>
    <t>2021 - Aeration System</t>
  </si>
  <si>
    <t xml:space="preserve">         - 10HP Motor </t>
  </si>
  <si>
    <t xml:space="preserve">          - Tile</t>
  </si>
  <si>
    <t>Retirements:</t>
  </si>
  <si>
    <t>Plant sewers, Other equipment, and Transportation Equipment</t>
  </si>
  <si>
    <t>Gravity sewer, Treatment plan, Plant sewers, and Office furniture</t>
  </si>
  <si>
    <t>Blower</t>
  </si>
  <si>
    <t>Motor</t>
  </si>
  <si>
    <t>Gross Utility Plant in Service</t>
  </si>
  <si>
    <r>
      <rPr>
        <b/>
        <i/>
        <sz val="12"/>
        <rFont val="Times New Roman"/>
        <family val="1"/>
      </rPr>
      <t>Accumulated Depreciation</t>
    </r>
    <r>
      <rPr>
        <b/>
        <sz val="12"/>
        <rFont val="Times New Roman"/>
        <family val="1"/>
      </rPr>
      <t xml:space="preserve"> as of December 31, 2023</t>
    </r>
  </si>
  <si>
    <r>
      <rPr>
        <b/>
        <i/>
        <sz val="12"/>
        <rFont val="Times New Roman"/>
        <family val="1"/>
      </rPr>
      <t xml:space="preserve">Accumulated Depreciation </t>
    </r>
    <r>
      <rPr>
        <b/>
        <sz val="12"/>
        <rFont val="Times New Roman"/>
        <family val="1"/>
      </rPr>
      <t xml:space="preserve">as of CN 44351-U                   </t>
    </r>
    <r>
      <rPr>
        <sz val="12"/>
        <rFont val="Times New Roman"/>
        <family val="1"/>
      </rPr>
      <t>(Phase 2 - As Adjusted)</t>
    </r>
  </si>
  <si>
    <t>Additions 2013 - 2023 (Attachment JTC-8)</t>
  </si>
  <si>
    <t>Total Accumulated Depreciation</t>
  </si>
  <si>
    <r>
      <rPr>
        <b/>
        <sz val="12"/>
        <rFont val="Times New Roman"/>
        <family val="1"/>
      </rPr>
      <t xml:space="preserve">Working Capital </t>
    </r>
    <r>
      <rPr>
        <sz val="12"/>
        <rFont val="Times New Roman"/>
        <family val="1"/>
      </rPr>
      <t>(see below)</t>
    </r>
  </si>
  <si>
    <t>Total Original Cost Rate Base</t>
  </si>
  <si>
    <t>Working Capital Calculation</t>
  </si>
  <si>
    <t>Operation &amp; Maintenance Expense</t>
  </si>
  <si>
    <t>Plus:</t>
  </si>
  <si>
    <t>Adjusted Operation &amp; Maintenance Expense</t>
  </si>
  <si>
    <t>Divide:</t>
  </si>
  <si>
    <t>45 Day Factor</t>
  </si>
  <si>
    <t>Working Capital Requirement</t>
  </si>
  <si>
    <t>Schedule 8</t>
  </si>
  <si>
    <r>
      <t>Pro forma</t>
    </r>
    <r>
      <rPr>
        <b/>
        <sz val="12"/>
        <rFont val="Times New Roman"/>
        <family val="1"/>
      </rPr>
      <t xml:space="preserve"> Capital Structure</t>
    </r>
  </si>
  <si>
    <t xml:space="preserve"> </t>
  </si>
  <si>
    <t>Percent of</t>
  </si>
  <si>
    <t xml:space="preserve">Weighted </t>
  </si>
  <si>
    <t>Amount</t>
  </si>
  <si>
    <t>Total</t>
  </si>
  <si>
    <t>Cost</t>
  </si>
  <si>
    <t>Common Equity</t>
  </si>
  <si>
    <t>Line of Credit</t>
  </si>
  <si>
    <t>Shareholder Loan</t>
  </si>
  <si>
    <t>Total Capital Structure</t>
  </si>
  <si>
    <t>Schedule 9</t>
  </si>
  <si>
    <t>Current and Proposed Rates and Charges</t>
  </si>
  <si>
    <t>Current</t>
  </si>
  <si>
    <t>Flat Rate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</si>
</sst>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%"/>
    <numFmt numFmtId="167" formatCode="0.000000%"/>
    <numFmt numFmtId="168" formatCode="0.0000000%"/>
    <numFmt numFmtId="169" formatCode="mm/dd/yy;@"/>
  </numFmts>
  <fonts count="24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u/>
      <sz val="12"/>
      <name val="Times New Roman"/>
      <family val="1"/>
    </font>
    <font>
      <i/>
      <sz val="12"/>
      <color indexed="10"/>
      <name val="Times New Roman"/>
      <family val="1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sz val="9"/>
      <name val="Times New Roman"/>
      <family val="1"/>
    </font>
    <font>
      <b/>
      <sz val="12"/>
      <color rgb="FFFFFF00"/>
      <name val="Times New Roman"/>
      <family val="1"/>
    </font>
    <font>
      <b/>
      <sz val="10"/>
      <color rgb="FFFFFF00"/>
      <name val="Times New Roman"/>
      <family val="1"/>
    </font>
    <font>
      <sz val="12"/>
      <color rgb="FFFFFF0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165" fontId="1" fillId="0" borderId="0" xfId="1" applyNumberFormat="1" applyFont="1"/>
    <xf numFmtId="0" fontId="8" fillId="0" borderId="0" xfId="0" applyFont="1"/>
    <xf numFmtId="165" fontId="1" fillId="0" borderId="0" xfId="0" applyNumberFormat="1" applyFont="1"/>
    <xf numFmtId="0" fontId="3" fillId="0" borderId="0" xfId="0" applyFont="1"/>
    <xf numFmtId="0" fontId="5" fillId="0" borderId="0" xfId="0" applyFont="1"/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9" fillId="0" borderId="0" xfId="0" applyFont="1"/>
    <xf numFmtId="0" fontId="0" fillId="2" borderId="0" xfId="0" applyFill="1"/>
    <xf numFmtId="0" fontId="0" fillId="3" borderId="0" xfId="0" applyFill="1"/>
    <xf numFmtId="167" fontId="0" fillId="3" borderId="0" xfId="4" applyNumberFormat="1" applyFont="1" applyFill="1"/>
    <xf numFmtId="0" fontId="8" fillId="4" borderId="0" xfId="0" applyFont="1" applyFill="1"/>
    <xf numFmtId="0" fontId="0" fillId="4" borderId="0" xfId="0" applyFill="1"/>
    <xf numFmtId="165" fontId="0" fillId="0" borderId="0" xfId="1" applyNumberFormat="1" applyFont="1"/>
    <xf numFmtId="165" fontId="0" fillId="0" borderId="0" xfId="1" applyNumberFormat="1" applyFont="1" applyBorder="1"/>
    <xf numFmtId="164" fontId="0" fillId="0" borderId="0" xfId="2" applyNumberFormat="1" applyFont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1" fillId="0" borderId="0" xfId="0" applyFont="1"/>
    <xf numFmtId="0" fontId="0" fillId="0" borderId="2" xfId="0" applyBorder="1"/>
    <xf numFmtId="168" fontId="0" fillId="0" borderId="0" xfId="4" applyNumberFormat="1" applyFont="1" applyFill="1"/>
    <xf numFmtId="0" fontId="0" fillId="0" borderId="4" xfId="0" applyBorder="1"/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0" fontId="0" fillId="0" borderId="0" xfId="4" applyNumberFormat="1" applyFont="1" applyBorder="1"/>
    <xf numFmtId="10" fontId="0" fillId="0" borderId="6" xfId="4" applyNumberFormat="1" applyFont="1" applyBorder="1"/>
    <xf numFmtId="10" fontId="0" fillId="0" borderId="8" xfId="4" applyNumberFormat="1" applyFont="1" applyBorder="1"/>
    <xf numFmtId="10" fontId="0" fillId="0" borderId="9" xfId="4" applyNumberFormat="1" applyFont="1" applyBorder="1"/>
    <xf numFmtId="44" fontId="0" fillId="2" borderId="0" xfId="2" applyFont="1" applyFill="1"/>
    <xf numFmtId="0" fontId="1" fillId="3" borderId="0" xfId="0" applyFont="1" applyFill="1"/>
    <xf numFmtId="164" fontId="1" fillId="0" borderId="0" xfId="2" applyNumberFormat="1" applyFont="1" applyFill="1"/>
    <xf numFmtId="165" fontId="1" fillId="0" borderId="0" xfId="1" applyNumberFormat="1" applyFont="1" applyFill="1"/>
    <xf numFmtId="10" fontId="1" fillId="0" borderId="3" xfId="4" applyNumberFormat="1" applyFont="1" applyFill="1" applyBorder="1"/>
    <xf numFmtId="164" fontId="0" fillId="0" borderId="0" xfId="2" applyNumberFormat="1" applyFont="1" applyFill="1"/>
    <xf numFmtId="165" fontId="0" fillId="0" borderId="0" xfId="1" applyNumberFormat="1" applyFont="1" applyFill="1"/>
    <xf numFmtId="165" fontId="1" fillId="0" borderId="12" xfId="1" applyNumberFormat="1" applyFont="1" applyFill="1" applyBorder="1"/>
    <xf numFmtId="164" fontId="0" fillId="0" borderId="3" xfId="2" applyNumberFormat="1" applyFont="1" applyFill="1" applyBorder="1"/>
    <xf numFmtId="0" fontId="1" fillId="2" borderId="0" xfId="0" applyFont="1" applyFill="1"/>
    <xf numFmtId="165" fontId="1" fillId="0" borderId="1" xfId="1" applyNumberFormat="1" applyFont="1" applyFill="1" applyBorder="1"/>
    <xf numFmtId="0" fontId="8" fillId="5" borderId="0" xfId="0" applyFont="1" applyFill="1"/>
    <xf numFmtId="0" fontId="0" fillId="5" borderId="0" xfId="0" applyFill="1"/>
    <xf numFmtId="168" fontId="0" fillId="5" borderId="0" xfId="4" applyNumberFormat="1" applyFont="1" applyFill="1"/>
    <xf numFmtId="167" fontId="0" fillId="0" borderId="0" xfId="4" applyNumberFormat="1" applyFont="1" applyFill="1"/>
    <xf numFmtId="167" fontId="0" fillId="2" borderId="0" xfId="4" applyNumberFormat="1" applyFont="1" applyFill="1"/>
    <xf numFmtId="0" fontId="0" fillId="0" borderId="1" xfId="0" applyBorder="1"/>
    <xf numFmtId="164" fontId="0" fillId="0" borderId="0" xfId="0" applyNumberFormat="1"/>
    <xf numFmtId="0" fontId="11" fillId="3" borderId="0" xfId="0" applyFont="1" applyFill="1"/>
    <xf numFmtId="49" fontId="0" fillId="2" borderId="0" xfId="0" applyNumberFormat="1" applyFill="1"/>
    <xf numFmtId="0" fontId="11" fillId="0" borderId="0" xfId="3"/>
    <xf numFmtId="15" fontId="0" fillId="0" borderId="0" xfId="0" applyNumberFormat="1"/>
    <xf numFmtId="10" fontId="0" fillId="0" borderId="0" xfId="4" applyNumberFormat="1" applyFont="1"/>
    <xf numFmtId="10" fontId="0" fillId="0" borderId="0" xfId="0" applyNumberFormat="1"/>
    <xf numFmtId="0" fontId="1" fillId="6" borderId="0" xfId="0" applyFont="1" applyFill="1"/>
    <xf numFmtId="165" fontId="1" fillId="0" borderId="0" xfId="1" applyNumberFormat="1" applyFont="1" applyFill="1" applyBorder="1"/>
    <xf numFmtId="0" fontId="0" fillId="6" borderId="0" xfId="0" applyFill="1"/>
    <xf numFmtId="165" fontId="0" fillId="0" borderId="1" xfId="1" applyNumberFormat="1" applyFont="1" applyBorder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167" fontId="0" fillId="2" borderId="0" xfId="4" applyNumberFormat="1" applyFont="1" applyFill="1" applyAlignment="1">
      <alignment vertical="top"/>
    </xf>
    <xf numFmtId="15" fontId="0" fillId="0" borderId="0" xfId="0" applyNumberFormat="1" applyAlignment="1">
      <alignment vertical="top"/>
    </xf>
    <xf numFmtId="10" fontId="0" fillId="0" borderId="0" xfId="0" applyNumberFormat="1" applyAlignment="1">
      <alignment vertical="top"/>
    </xf>
    <xf numFmtId="165" fontId="0" fillId="0" borderId="2" xfId="1" applyNumberFormat="1" applyFont="1" applyBorder="1"/>
    <xf numFmtId="0" fontId="7" fillId="0" borderId="0" xfId="0" applyFont="1" applyAlignment="1">
      <alignment horizontal="center"/>
    </xf>
    <xf numFmtId="164" fontId="1" fillId="0" borderId="0" xfId="0" applyNumberFormat="1" applyFont="1"/>
    <xf numFmtId="0" fontId="18" fillId="0" borderId="0" xfId="0" applyFont="1"/>
    <xf numFmtId="0" fontId="20" fillId="0" borderId="0" xfId="0" applyFont="1"/>
    <xf numFmtId="0" fontId="19" fillId="0" borderId="0" xfId="0" applyFont="1"/>
    <xf numFmtId="0" fontId="19" fillId="3" borderId="0" xfId="0" applyFont="1" applyFill="1"/>
    <xf numFmtId="165" fontId="19" fillId="0" borderId="0" xfId="1" applyNumberFormat="1" applyFont="1"/>
    <xf numFmtId="0" fontId="19" fillId="6" borderId="0" xfId="0" applyFont="1" applyFill="1"/>
    <xf numFmtId="0" fontId="21" fillId="6" borderId="0" xfId="0" applyFont="1" applyFill="1"/>
    <xf numFmtId="0" fontId="20" fillId="6" borderId="0" xfId="0" applyFont="1" applyFill="1" applyAlignment="1">
      <alignment vertical="top"/>
    </xf>
    <xf numFmtId="0" fontId="20" fillId="0" borderId="0" xfId="0" applyFont="1" applyAlignment="1">
      <alignment vertical="top"/>
    </xf>
    <xf numFmtId="14" fontId="0" fillId="2" borderId="0" xfId="0" applyNumberFormat="1" applyFill="1"/>
    <xf numFmtId="10" fontId="0" fillId="2" borderId="0" xfId="0" applyNumberFormat="1" applyFill="1"/>
    <xf numFmtId="10" fontId="1" fillId="0" borderId="1" xfId="4" applyNumberFormat="1" applyFont="1" applyFill="1" applyBorder="1"/>
    <xf numFmtId="44" fontId="0" fillId="0" borderId="0" xfId="2" applyFont="1" applyFill="1"/>
    <xf numFmtId="44" fontId="0" fillId="0" borderId="0" xfId="2" applyFont="1"/>
    <xf numFmtId="164" fontId="2" fillId="0" borderId="3" xfId="2" applyNumberFormat="1" applyFont="1" applyFill="1" applyBorder="1"/>
    <xf numFmtId="44" fontId="0" fillId="0" borderId="1" xfId="0" applyNumberFormat="1" applyBorder="1"/>
    <xf numFmtId="44" fontId="0" fillId="0" borderId="0" xfId="0" applyNumberFormat="1"/>
    <xf numFmtId="44" fontId="0" fillId="0" borderId="14" xfId="2" applyFont="1" applyFill="1" applyBorder="1"/>
    <xf numFmtId="44" fontId="0" fillId="0" borderId="14" xfId="2" applyFont="1" applyBorder="1"/>
    <xf numFmtId="164" fontId="0" fillId="0" borderId="0" xfId="2" applyNumberFormat="1" applyFont="1" applyBorder="1"/>
    <xf numFmtId="44" fontId="0" fillId="0" borderId="0" xfId="2" applyFont="1" applyBorder="1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Border="1"/>
    <xf numFmtId="43" fontId="0" fillId="0" borderId="0" xfId="1" applyFont="1" applyFill="1"/>
    <xf numFmtId="43" fontId="0" fillId="0" borderId="1" xfId="1" applyFont="1" applyBorder="1"/>
    <xf numFmtId="165" fontId="0" fillId="0" borderId="1" xfId="1" applyNumberFormat="1" applyFont="1" applyFill="1" applyBorder="1"/>
    <xf numFmtId="165" fontId="0" fillId="0" borderId="12" xfId="1" applyNumberFormat="1" applyFont="1" applyFill="1" applyBorder="1"/>
    <xf numFmtId="43" fontId="0" fillId="0" borderId="0" xfId="0" applyNumberFormat="1"/>
    <xf numFmtId="165" fontId="0" fillId="0" borderId="0" xfId="1" applyNumberFormat="1" applyFont="1" applyFill="1" applyBorder="1"/>
    <xf numFmtId="0" fontId="2" fillId="0" borderId="0" xfId="0" applyFont="1" applyAlignment="1">
      <alignment horizontal="centerContinuous"/>
    </xf>
    <xf numFmtId="165" fontId="1" fillId="0" borderId="12" xfId="0" applyNumberFormat="1" applyFont="1" applyBorder="1"/>
    <xf numFmtId="164" fontId="1" fillId="0" borderId="3" xfId="2" applyNumberFormat="1" applyFont="1" applyFill="1" applyBorder="1"/>
    <xf numFmtId="164" fontId="1" fillId="0" borderId="0" xfId="2" applyNumberFormat="1" applyFont="1" applyFill="1" applyBorder="1"/>
    <xf numFmtId="0" fontId="1" fillId="0" borderId="0" xfId="2" applyNumberFormat="1" applyFont="1" applyFill="1" applyAlignment="1">
      <alignment horizontal="center"/>
    </xf>
    <xf numFmtId="0" fontId="1" fillId="0" borderId="0" xfId="1" applyNumberFormat="1" applyFont="1" applyFill="1" applyAlignment="1">
      <alignment horizontal="center"/>
    </xf>
    <xf numFmtId="166" fontId="1" fillId="0" borderId="0" xfId="4" applyNumberFormat="1" applyFont="1" applyFill="1"/>
    <xf numFmtId="164" fontId="1" fillId="0" borderId="14" xfId="2" applyNumberFormat="1" applyFont="1" applyFill="1" applyBorder="1"/>
    <xf numFmtId="10" fontId="1" fillId="0" borderId="0" xfId="4" applyNumberFormat="1" applyFont="1" applyFill="1"/>
    <xf numFmtId="0" fontId="1" fillId="0" borderId="0" xfId="4" applyNumberFormat="1" applyFont="1" applyFill="1" applyAlignment="1">
      <alignment horizontal="center"/>
    </xf>
    <xf numFmtId="0" fontId="1" fillId="0" borderId="10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0" borderId="5" xfId="0" applyFont="1" applyBorder="1"/>
    <xf numFmtId="0" fontId="2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44" fontId="1" fillId="0" borderId="0" xfId="2" applyFont="1" applyFill="1" applyBorder="1" applyAlignment="1">
      <alignment horizontal="left"/>
    </xf>
    <xf numFmtId="44" fontId="1" fillId="0" borderId="0" xfId="2" applyFont="1" applyFill="1" applyBorder="1"/>
    <xf numFmtId="44" fontId="1" fillId="0" borderId="6" xfId="2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166" fontId="1" fillId="0" borderId="1" xfId="4" applyNumberFormat="1" applyFont="1" applyFill="1" applyBorder="1"/>
    <xf numFmtId="166" fontId="1" fillId="0" borderId="0" xfId="4" applyNumberFormat="1" applyFont="1" applyFill="1" applyBorder="1"/>
    <xf numFmtId="43" fontId="1" fillId="0" borderId="0" xfId="1" applyFont="1" applyFill="1" applyBorder="1"/>
    <xf numFmtId="43" fontId="1" fillId="0" borderId="0" xfId="1" applyFont="1" applyFill="1"/>
    <xf numFmtId="166" fontId="1" fillId="0" borderId="0" xfId="0" applyNumberFormat="1" applyFont="1"/>
    <xf numFmtId="168" fontId="1" fillId="0" borderId="1" xfId="4" applyNumberFormat="1" applyFont="1" applyFill="1" applyBorder="1"/>
    <xf numFmtId="168" fontId="1" fillId="0" borderId="0" xfId="4" applyNumberFormat="1" applyFont="1" applyFill="1"/>
    <xf numFmtId="167" fontId="1" fillId="0" borderId="0" xfId="0" applyNumberFormat="1" applyFont="1"/>
    <xf numFmtId="43" fontId="1" fillId="0" borderId="0" xfId="1" applyFont="1" applyFill="1" applyBorder="1" applyAlignment="1">
      <alignment horizontal="right"/>
    </xf>
    <xf numFmtId="43" fontId="1" fillId="0" borderId="0" xfId="0" applyNumberFormat="1" applyFont="1" applyAlignment="1">
      <alignment horizontal="right"/>
    </xf>
    <xf numFmtId="43" fontId="1" fillId="0" borderId="1" xfId="1" applyFont="1" applyFill="1" applyBorder="1" applyAlignment="1">
      <alignment horizontal="right"/>
    </xf>
    <xf numFmtId="166" fontId="1" fillId="0" borderId="3" xfId="4" applyNumberFormat="1" applyFont="1" applyFill="1" applyBorder="1"/>
    <xf numFmtId="0" fontId="7" fillId="0" borderId="0" xfId="0" applyFont="1"/>
    <xf numFmtId="164" fontId="1" fillId="0" borderId="0" xfId="2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0" fontId="2" fillId="0" borderId="0" xfId="3" applyFont="1"/>
    <xf numFmtId="0" fontId="5" fillId="0" borderId="0" xfId="3" applyFont="1"/>
    <xf numFmtId="165" fontId="1" fillId="0" borderId="3" xfId="1" applyNumberFormat="1" applyFont="1" applyFill="1" applyBorder="1"/>
    <xf numFmtId="164" fontId="1" fillId="0" borderId="3" xfId="2" applyNumberFormat="1" applyFont="1" applyFill="1" applyBorder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4" fontId="0" fillId="0" borderId="0" xfId="2" applyNumberFormat="1" applyFont="1" applyFill="1" applyAlignment="1">
      <alignment horizontal="right"/>
    </xf>
    <xf numFmtId="0" fontId="0" fillId="0" borderId="0" xfId="0" quotePrefix="1" applyAlignment="1">
      <alignment horizontal="center"/>
    </xf>
    <xf numFmtId="16" fontId="1" fillId="0" borderId="0" xfId="0" quotePrefix="1" applyNumberFormat="1" applyFont="1" applyAlignment="1">
      <alignment horizontal="center"/>
    </xf>
    <xf numFmtId="165" fontId="0" fillId="0" borderId="0" xfId="0" applyNumberFormat="1"/>
    <xf numFmtId="165" fontId="0" fillId="0" borderId="2" xfId="1" applyNumberFormat="1" applyFont="1" applyFill="1" applyBorder="1"/>
    <xf numFmtId="165" fontId="0" fillId="0" borderId="2" xfId="1" applyNumberFormat="1" applyFont="1" applyFill="1" applyBorder="1" applyAlignment="1">
      <alignment horizontal="right"/>
    </xf>
    <xf numFmtId="41" fontId="0" fillId="0" borderId="0" xfId="2" applyNumberFormat="1" applyFont="1" applyFill="1"/>
    <xf numFmtId="0" fontId="1" fillId="0" borderId="0" xfId="0" quotePrefix="1" applyFont="1" applyAlignment="1">
      <alignment horizontal="center"/>
    </xf>
    <xf numFmtId="16" fontId="0" fillId="0" borderId="0" xfId="0" quotePrefix="1" applyNumberFormat="1" applyAlignment="1">
      <alignment horizontal="center"/>
    </xf>
    <xf numFmtId="165" fontId="0" fillId="0" borderId="3" xfId="1" applyNumberFormat="1" applyFont="1" applyFill="1" applyBorder="1"/>
    <xf numFmtId="165" fontId="22" fillId="0" borderId="0" xfId="1" applyNumberFormat="1" applyFont="1" applyFill="1" applyAlignment="1">
      <alignment horizontal="center"/>
    </xf>
    <xf numFmtId="44" fontId="0" fillId="0" borderId="12" xfId="2" applyFont="1" applyBorder="1"/>
    <xf numFmtId="10" fontId="0" fillId="0" borderId="1" xfId="0" applyNumberFormat="1" applyBorder="1"/>
    <xf numFmtId="164" fontId="0" fillId="0" borderId="12" xfId="2" applyNumberFormat="1" applyFont="1" applyBorder="1"/>
    <xf numFmtId="0" fontId="7" fillId="0" borderId="0" xfId="0" applyFont="1" applyAlignment="1">
      <alignment horizontal="center" vertical="top"/>
    </xf>
    <xf numFmtId="169" fontId="0" fillId="0" borderId="0" xfId="0" applyNumberFormat="1" applyAlignment="1">
      <alignment vertical="top"/>
    </xf>
    <xf numFmtId="164" fontId="0" fillId="0" borderId="0" xfId="2" applyNumberFormat="1" applyFont="1" applyFill="1" applyAlignment="1">
      <alignment vertical="top"/>
    </xf>
    <xf numFmtId="0" fontId="19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0" fillId="0" borderId="1" xfId="1" applyNumberFormat="1" applyFont="1" applyFill="1" applyBorder="1" applyAlignment="1">
      <alignment vertical="top"/>
    </xf>
    <xf numFmtId="165" fontId="0" fillId="0" borderId="0" xfId="1" applyNumberFormat="1" applyFont="1" applyFill="1" applyAlignment="1">
      <alignment vertical="top"/>
    </xf>
    <xf numFmtId="165" fontId="0" fillId="0" borderId="12" xfId="1" applyNumberFormat="1" applyFont="1" applyFill="1" applyBorder="1" applyAlignment="1">
      <alignment vertical="top"/>
    </xf>
    <xf numFmtId="165" fontId="19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4" fontId="0" fillId="0" borderId="14" xfId="2" applyNumberFormat="1" applyFont="1" applyFill="1" applyBorder="1" applyAlignment="1">
      <alignment vertical="top"/>
    </xf>
    <xf numFmtId="164" fontId="0" fillId="0" borderId="0" xfId="0" applyNumberFormat="1" applyAlignment="1">
      <alignment vertical="top"/>
    </xf>
    <xf numFmtId="43" fontId="0" fillId="0" borderId="0" xfId="0" applyNumberFormat="1" applyAlignment="1">
      <alignment vertical="top"/>
    </xf>
    <xf numFmtId="0" fontId="0" fillId="0" borderId="2" xfId="0" applyBorder="1" applyAlignment="1">
      <alignment vertical="top"/>
    </xf>
    <xf numFmtId="165" fontId="0" fillId="0" borderId="0" xfId="1" applyNumberFormat="1" applyFont="1" applyFill="1" applyBorder="1" applyAlignment="1">
      <alignment vertical="top"/>
    </xf>
    <xf numFmtId="0" fontId="0" fillId="0" borderId="0" xfId="4" applyNumberFormat="1" applyFont="1" applyFill="1" applyAlignment="1">
      <alignment vertical="top"/>
    </xf>
    <xf numFmtId="0" fontId="0" fillId="0" borderId="1" xfId="0" applyBorder="1" applyAlignment="1">
      <alignment vertical="top"/>
    </xf>
    <xf numFmtId="164" fontId="0" fillId="0" borderId="3" xfId="2" applyNumberFormat="1" applyFont="1" applyFill="1" applyBorder="1" applyAlignment="1">
      <alignment vertical="top"/>
    </xf>
    <xf numFmtId="0" fontId="1" fillId="0" borderId="0" xfId="0" quotePrefix="1" applyFont="1" applyAlignment="1">
      <alignment vertical="top"/>
    </xf>
    <xf numFmtId="0" fontId="1" fillId="0" borderId="0" xfId="0" quotePrefix="1" applyFont="1" applyAlignment="1">
      <alignment vertical="top" wrapText="1"/>
    </xf>
    <xf numFmtId="0" fontId="2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5" fontId="0" fillId="0" borderId="0" xfId="0" applyNumberFormat="1" applyAlignment="1">
      <alignment vertical="top"/>
    </xf>
    <xf numFmtId="43" fontId="0" fillId="0" borderId="1" xfId="0" applyNumberFormat="1" applyBorder="1" applyAlignment="1">
      <alignment vertical="top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5" fontId="1" fillId="0" borderId="0" xfId="0" applyNumberFormat="1" applyFo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fill"/>
    </xf>
    <xf numFmtId="164" fontId="1" fillId="0" borderId="0" xfId="2" applyNumberFormat="1" applyFont="1" applyFill="1" applyProtection="1"/>
    <xf numFmtId="10" fontId="1" fillId="0" borderId="0" xfId="4" applyNumberFormat="1" applyFont="1" applyFill="1" applyProtection="1"/>
    <xf numFmtId="10" fontId="1" fillId="0" borderId="0" xfId="0" applyNumberFormat="1" applyFont="1"/>
    <xf numFmtId="165" fontId="1" fillId="0" borderId="0" xfId="1" applyNumberFormat="1" applyFont="1" applyFill="1" applyBorder="1" applyProtection="1"/>
    <xf numFmtId="164" fontId="1" fillId="0" borderId="14" xfId="2" applyNumberFormat="1" applyFont="1" applyFill="1" applyBorder="1" applyProtection="1"/>
    <xf numFmtId="9" fontId="1" fillId="0" borderId="14" xfId="0" applyNumberFormat="1" applyFont="1" applyBorder="1"/>
    <xf numFmtId="10" fontId="1" fillId="0" borderId="14" xfId="0" applyNumberFormat="1" applyFont="1" applyBorder="1"/>
    <xf numFmtId="37" fontId="1" fillId="0" borderId="0" xfId="0" applyNumberFormat="1" applyFont="1" applyAlignment="1">
      <alignment horizontal="fill"/>
    </xf>
    <xf numFmtId="37" fontId="1" fillId="0" borderId="0" xfId="0" applyNumberFormat="1" applyFont="1"/>
    <xf numFmtId="0" fontId="1" fillId="0" borderId="0" xfId="0" applyFont="1" applyAlignment="1">
      <alignment horizontal="left"/>
    </xf>
    <xf numFmtId="5" fontId="1" fillId="0" borderId="0" xfId="0" applyNumberFormat="1" applyFont="1"/>
    <xf numFmtId="164" fontId="1" fillId="0" borderId="0" xfId="2" applyNumberFormat="1" applyFont="1" applyProtection="1"/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0" applyFont="1" applyAlignment="1">
      <alignment vertical="top" wrapText="1"/>
    </xf>
    <xf numFmtId="0" fontId="2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5" fillId="0" borderId="0" xfId="0" applyFont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4</xdr:col>
      <xdr:colOff>37171</xdr:colOff>
      <xdr:row>10</xdr:row>
      <xdr:rowOff>102220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FCA7E7-FF04-9A35-5929-8D7B9D6E4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3305"/>
          <a:ext cx="2787805" cy="1101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>
    <tabColor theme="3" tint="0.59999389629810485"/>
  </sheetPr>
  <dimension ref="A1:I4"/>
  <sheetViews>
    <sheetView tabSelected="1" zoomScale="205" zoomScaleNormal="205" workbookViewId="0">
      <selection activeCell="C13" sqref="C13"/>
    </sheetView>
  </sheetViews>
  <sheetFormatPr defaultColWidth="9" defaultRowHeight="15.75" x14ac:dyDescent="0.25"/>
  <cols>
    <col min="1" max="16384" width="9" style="56"/>
  </cols>
  <sheetData>
    <row r="1" spans="1:9" ht="18.75" customHeight="1" x14ac:dyDescent="0.3">
      <c r="A1" s="142" t="str">
        <f>"CAUSE NUMBER "&amp;+Inputs!$C$6</f>
        <v>CAUSE NUMBER 46122-U</v>
      </c>
      <c r="B1" s="143"/>
      <c r="C1" s="143"/>
      <c r="D1" s="143"/>
      <c r="E1" s="143"/>
      <c r="F1" s="143"/>
      <c r="G1" s="143"/>
      <c r="H1" s="143"/>
      <c r="I1" s="143"/>
    </row>
    <row r="2" spans="1:9" x14ac:dyDescent="0.25">
      <c r="A2" s="142" t="s">
        <v>0</v>
      </c>
      <c r="B2" s="142"/>
      <c r="C2" s="142"/>
      <c r="D2" s="142"/>
      <c r="E2" s="142"/>
      <c r="F2" s="142"/>
      <c r="G2" s="142"/>
      <c r="H2" s="142"/>
    </row>
    <row r="3" spans="1:9" ht="18.75" x14ac:dyDescent="0.3">
      <c r="A3" s="142" t="str">
        <f>"Workpaper "&amp;+Inputs!C11&amp;"-1" &amp; " - 46122 OUCC Schedules"</f>
        <v>Workpaper JTC-1 - 46122 OUCC Schedules</v>
      </c>
      <c r="B3" s="142"/>
      <c r="C3" s="142"/>
      <c r="D3" s="142"/>
      <c r="E3" s="142"/>
      <c r="F3" s="142"/>
      <c r="G3" s="142"/>
      <c r="H3" s="142"/>
      <c r="I3" s="143"/>
    </row>
    <row r="4" spans="1:9" x14ac:dyDescent="0.25">
      <c r="A4" s="142" t="s">
        <v>1</v>
      </c>
      <c r="B4" s="142"/>
      <c r="C4" s="142"/>
      <c r="D4" s="142"/>
      <c r="E4" s="142"/>
      <c r="F4" s="142"/>
      <c r="G4" s="142"/>
      <c r="H4" s="14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34"/>
  </sheetPr>
  <dimension ref="A1:Q32"/>
  <sheetViews>
    <sheetView view="pageBreakPreview" zoomScale="130" zoomScaleNormal="125" zoomScaleSheetLayoutView="130" workbookViewId="0">
      <selection activeCell="A19" sqref="A19"/>
    </sheetView>
  </sheetViews>
  <sheetFormatPr defaultColWidth="9" defaultRowHeight="15.75" x14ac:dyDescent="0.25"/>
  <cols>
    <col min="1" max="1" width="3.625" style="70" customWidth="1"/>
    <col min="2" max="2" width="2.625" style="26" customWidth="1"/>
    <col min="3" max="3" width="29.625" style="26" customWidth="1"/>
    <col min="4" max="4" width="2.125" style="26" customWidth="1"/>
    <col min="5" max="5" width="9" style="26" customWidth="1"/>
    <col min="6" max="6" width="1.625" style="26" customWidth="1"/>
    <col min="7" max="7" width="9" style="26" customWidth="1"/>
    <col min="8" max="8" width="1.625" style="26" customWidth="1"/>
    <col min="9" max="9" width="9" style="26" customWidth="1"/>
    <col min="10" max="10" width="1.625" style="26" customWidth="1"/>
    <col min="11" max="11" width="10.875" style="26" customWidth="1"/>
    <col min="12" max="16384" width="9" style="26"/>
  </cols>
  <sheetData>
    <row r="1" spans="1:17" x14ac:dyDescent="0.25">
      <c r="B1" s="2"/>
      <c r="C1" s="2"/>
      <c r="D1" s="2"/>
      <c r="E1" s="2"/>
      <c r="F1" s="2"/>
      <c r="G1" s="2"/>
      <c r="H1" s="2"/>
      <c r="I1" s="2"/>
      <c r="J1" s="2"/>
      <c r="K1" s="12" t="str">
        <f>+'Sch 1'!J1</f>
        <v>OUCC</v>
      </c>
      <c r="L1" s="2"/>
      <c r="M1" s="2"/>
      <c r="N1" s="2"/>
      <c r="O1" s="2"/>
      <c r="P1" s="2"/>
      <c r="Q1" s="2"/>
    </row>
    <row r="2" spans="1:17" x14ac:dyDescent="0.25">
      <c r="B2" s="2"/>
      <c r="C2" s="2"/>
      <c r="D2" s="2"/>
      <c r="E2" s="2"/>
      <c r="F2" s="2"/>
      <c r="G2" s="2"/>
      <c r="H2" s="2"/>
      <c r="I2" s="2"/>
      <c r="J2" s="2"/>
      <c r="K2" s="12" t="s">
        <v>364</v>
      </c>
      <c r="L2" s="2"/>
      <c r="M2" s="2"/>
      <c r="N2" s="2"/>
      <c r="O2" s="2"/>
      <c r="P2" s="2"/>
      <c r="Q2" s="2"/>
    </row>
    <row r="3" spans="1:17" x14ac:dyDescent="0.25">
      <c r="B3" s="2"/>
      <c r="C3" s="2"/>
      <c r="D3" s="2"/>
      <c r="E3" s="2"/>
      <c r="F3" s="2"/>
      <c r="G3" s="2"/>
      <c r="H3" s="2"/>
      <c r="I3" s="2"/>
      <c r="J3" s="2"/>
      <c r="K3" s="12" t="s">
        <v>101</v>
      </c>
      <c r="L3" s="2"/>
      <c r="M3" s="2"/>
      <c r="N3" s="2"/>
      <c r="O3" s="2"/>
      <c r="P3" s="2"/>
      <c r="Q3" s="2"/>
    </row>
    <row r="4" spans="1:17" s="54" customFormat="1" ht="20.25" x14ac:dyDescent="0.3">
      <c r="A4" s="70"/>
      <c r="B4" s="211" t="str">
        <f>+Inputs!$C$5</f>
        <v>Pleasantview Wastewater</v>
      </c>
      <c r="C4" s="211"/>
      <c r="D4" s="211"/>
      <c r="E4" s="211"/>
      <c r="F4" s="211"/>
      <c r="G4" s="211"/>
      <c r="H4" s="211"/>
      <c r="I4" s="211"/>
      <c r="J4" s="211"/>
      <c r="K4" s="211"/>
      <c r="L4" s="37"/>
      <c r="M4" s="37"/>
      <c r="N4" s="37"/>
      <c r="O4" s="37"/>
      <c r="P4" s="37"/>
      <c r="Q4" s="37"/>
    </row>
    <row r="5" spans="1:17" s="54" customFormat="1" ht="18.75" x14ac:dyDescent="0.3">
      <c r="A5" s="70"/>
      <c r="B5" s="207" t="str">
        <f>"CAUSE NUMBER "&amp;+Inputs!$C$6</f>
        <v>CAUSE NUMBER 46122-U</v>
      </c>
      <c r="C5" s="207"/>
      <c r="D5" s="207"/>
      <c r="E5" s="207"/>
      <c r="F5" s="207"/>
      <c r="G5" s="207"/>
      <c r="H5" s="207"/>
      <c r="I5" s="207"/>
      <c r="J5" s="207"/>
      <c r="K5" s="207"/>
      <c r="L5" s="37"/>
      <c r="M5" s="37"/>
      <c r="N5" s="37"/>
      <c r="O5" s="37"/>
      <c r="P5" s="37"/>
      <c r="Q5" s="37"/>
    </row>
    <row r="7" spans="1:17" x14ac:dyDescent="0.25">
      <c r="B7" s="210" t="s">
        <v>365</v>
      </c>
      <c r="C7" s="209"/>
      <c r="D7" s="209"/>
      <c r="E7" s="209"/>
      <c r="F7" s="209"/>
      <c r="G7" s="209"/>
      <c r="H7" s="209"/>
      <c r="I7" s="209"/>
      <c r="J7" s="209"/>
      <c r="K7" s="209"/>
      <c r="L7" s="2"/>
      <c r="M7" s="2"/>
      <c r="N7" s="2"/>
      <c r="O7" s="2"/>
      <c r="P7" s="2"/>
      <c r="Q7" s="2"/>
    </row>
    <row r="8" spans="1:17" x14ac:dyDescent="0.25">
      <c r="B8" s="217" t="str">
        <f>+"As of "&amp;Inputs!C8&amp;", "&amp;Inputs!E8</f>
        <v>As of December 31, 2023</v>
      </c>
      <c r="C8" s="217"/>
      <c r="D8" s="217"/>
      <c r="E8" s="217"/>
      <c r="F8" s="217"/>
      <c r="G8" s="217"/>
      <c r="H8" s="217"/>
      <c r="I8" s="217"/>
      <c r="J8" s="217"/>
      <c r="K8" s="217"/>
      <c r="L8" s="2"/>
      <c r="M8" s="2"/>
      <c r="N8" s="2"/>
      <c r="O8" s="2"/>
      <c r="P8" s="2"/>
      <c r="Q8" s="2"/>
    </row>
    <row r="10" spans="1:17" x14ac:dyDescent="0.25">
      <c r="B10" s="192"/>
      <c r="C10" s="192"/>
      <c r="D10" s="192"/>
      <c r="E10" s="102" t="s">
        <v>366</v>
      </c>
      <c r="F10" s="13"/>
      <c r="G10" s="102" t="s">
        <v>367</v>
      </c>
      <c r="H10" s="13"/>
      <c r="I10" s="102" t="s">
        <v>366</v>
      </c>
      <c r="J10" s="13"/>
      <c r="K10" s="102" t="s">
        <v>368</v>
      </c>
      <c r="L10" s="13"/>
      <c r="M10" s="2"/>
      <c r="N10" s="2"/>
      <c r="O10" s="2"/>
      <c r="P10" s="2"/>
      <c r="Q10" s="2"/>
    </row>
    <row r="11" spans="1:17" x14ac:dyDescent="0.25">
      <c r="B11" s="192"/>
      <c r="C11" s="192"/>
      <c r="D11" s="192"/>
      <c r="E11" s="5" t="s">
        <v>369</v>
      </c>
      <c r="F11" s="13"/>
      <c r="G11" s="5" t="s">
        <v>370</v>
      </c>
      <c r="H11" s="13"/>
      <c r="I11" s="5" t="s">
        <v>371</v>
      </c>
      <c r="J11" s="13"/>
      <c r="K11" s="5" t="s">
        <v>371</v>
      </c>
      <c r="L11" s="13"/>
      <c r="M11" s="2"/>
      <c r="N11" s="2"/>
      <c r="O11" s="2"/>
      <c r="P11" s="2"/>
      <c r="Q11" s="2"/>
    </row>
    <row r="12" spans="1:17" x14ac:dyDescent="0.25">
      <c r="B12" s="192"/>
      <c r="C12" s="192"/>
      <c r="D12" s="192"/>
      <c r="E12" s="192"/>
      <c r="F12" s="2"/>
      <c r="G12" s="193"/>
      <c r="H12" s="2"/>
      <c r="I12" s="193"/>
      <c r="J12" s="2"/>
      <c r="K12" s="193"/>
      <c r="L12" s="2"/>
      <c r="M12" s="2"/>
      <c r="N12" s="2"/>
      <c r="O12" s="2"/>
      <c r="P12" s="2"/>
      <c r="Q12" s="2"/>
    </row>
    <row r="13" spans="1:17" x14ac:dyDescent="0.25">
      <c r="A13" s="70">
        <v>1</v>
      </c>
      <c r="B13" s="2" t="s">
        <v>372</v>
      </c>
      <c r="C13" s="2"/>
      <c r="D13" s="2"/>
      <c r="E13" s="194">
        <f>'Sch 2 - BS'!E74/2</f>
        <v>8849</v>
      </c>
      <c r="F13" s="2"/>
      <c r="G13" s="195">
        <f>IF(E13=0,0,ROUND(E13/$E$18,4))</f>
        <v>0.27429999999999999</v>
      </c>
      <c r="H13" s="2"/>
      <c r="I13" s="195">
        <v>9.6500000000000002E-2</v>
      </c>
      <c r="J13" s="2"/>
      <c r="K13" s="196">
        <f>ROUND(G13*I13,4)</f>
        <v>2.6499999999999999E-2</v>
      </c>
      <c r="L13" s="224"/>
      <c r="M13" s="224"/>
      <c r="N13" s="224"/>
      <c r="O13" s="224"/>
      <c r="P13" s="224"/>
      <c r="Q13" s="224"/>
    </row>
    <row r="14" spans="1:17" x14ac:dyDescent="0.25">
      <c r="A14" s="70">
        <v>2</v>
      </c>
      <c r="B14" s="2" t="s">
        <v>373</v>
      </c>
      <c r="C14" s="2"/>
      <c r="D14" s="2"/>
      <c r="E14" s="197">
        <f>'Sch 2 - BS'!E84/2</f>
        <v>7500</v>
      </c>
      <c r="F14" s="2"/>
      <c r="G14" s="195">
        <f>IF(E14=0,0,ROUND(E14/$E$18,4))</f>
        <v>0.23250000000000001</v>
      </c>
      <c r="H14" s="2"/>
      <c r="I14" s="195">
        <v>8.2500000000000004E-2</v>
      </c>
      <c r="J14" s="2"/>
      <c r="K14" s="196">
        <f>ROUND(G14*I14,4)</f>
        <v>1.9199999999999998E-2</v>
      </c>
      <c r="L14" s="224"/>
      <c r="M14" s="224"/>
      <c r="N14" s="224"/>
      <c r="O14" s="224"/>
      <c r="P14" s="224"/>
      <c r="Q14" s="224"/>
    </row>
    <row r="15" spans="1:17" x14ac:dyDescent="0.25">
      <c r="A15" s="70">
        <v>3</v>
      </c>
      <c r="B15" s="2" t="s">
        <v>374</v>
      </c>
      <c r="C15" s="2"/>
      <c r="D15" s="2"/>
      <c r="E15" s="197">
        <f>'Sch 2 - BS'!E85/2</f>
        <v>14924.5</v>
      </c>
      <c r="F15" s="2"/>
      <c r="G15" s="195">
        <f>IF(E15=0,0,ROUND(E15/$E$18,4))</f>
        <v>0.4627</v>
      </c>
      <c r="H15" s="2"/>
      <c r="I15" s="195">
        <v>0</v>
      </c>
      <c r="J15" s="2"/>
      <c r="K15" s="196">
        <f>ROUND(G15*I15,4)</f>
        <v>0</v>
      </c>
      <c r="L15" s="224"/>
      <c r="M15" s="224"/>
      <c r="N15" s="224"/>
      <c r="O15" s="224"/>
      <c r="P15" s="224"/>
      <c r="Q15" s="224"/>
    </row>
    <row r="16" spans="1:17" x14ac:dyDescent="0.25">
      <c r="A16" s="70">
        <v>4</v>
      </c>
      <c r="B16" s="2" t="s">
        <v>166</v>
      </c>
      <c r="C16" s="2"/>
      <c r="D16" s="2"/>
      <c r="E16" s="197">
        <f>'Sch 2 - BS'!E93/2</f>
        <v>984</v>
      </c>
      <c r="F16" s="2"/>
      <c r="G16" s="195">
        <f>IF(E16=0,0,ROUND(E16/$E$18,4))</f>
        <v>3.0499999999999999E-2</v>
      </c>
      <c r="H16" s="2"/>
      <c r="I16" s="195">
        <v>0</v>
      </c>
      <c r="J16" s="2"/>
      <c r="K16" s="196">
        <f t="shared" ref="K16" si="0">ROUND(G16*I16,4)</f>
        <v>0</v>
      </c>
      <c r="L16" s="2"/>
      <c r="M16" s="2"/>
      <c r="N16" s="2"/>
      <c r="O16" s="2"/>
      <c r="P16" s="2"/>
      <c r="Q16" s="2"/>
    </row>
    <row r="17" spans="1:12" x14ac:dyDescent="0.25">
      <c r="B17" s="2"/>
      <c r="C17" s="2"/>
      <c r="D17" s="2"/>
      <c r="E17" s="197"/>
      <c r="F17" s="2"/>
      <c r="G17" s="195"/>
      <c r="H17" s="2"/>
      <c r="I17" s="195"/>
      <c r="J17" s="2"/>
      <c r="K17" s="196"/>
      <c r="L17" s="2"/>
    </row>
    <row r="18" spans="1:12" ht="16.5" thickBot="1" x14ac:dyDescent="0.3">
      <c r="A18" s="70">
        <v>5</v>
      </c>
      <c r="B18" s="2"/>
      <c r="C18" s="2" t="s">
        <v>375</v>
      </c>
      <c r="D18" s="2"/>
      <c r="E18" s="198">
        <f>SUM(E13:E16)</f>
        <v>32257.5</v>
      </c>
      <c r="F18" s="2"/>
      <c r="G18" s="199">
        <f>SUM(G13:G16)</f>
        <v>1</v>
      </c>
      <c r="H18" s="2"/>
      <c r="I18" s="196"/>
      <c r="J18" s="2"/>
      <c r="K18" s="200">
        <f>SUM(K13:K16)</f>
        <v>4.5699999999999998E-2</v>
      </c>
      <c r="L18" s="2"/>
    </row>
    <row r="19" spans="1:12" ht="16.5" thickTop="1" x14ac:dyDescent="0.25">
      <c r="B19" s="2"/>
      <c r="C19" s="2"/>
      <c r="D19" s="2"/>
      <c r="E19" s="197"/>
      <c r="F19" s="2"/>
      <c r="G19" s="195"/>
      <c r="H19" s="2"/>
      <c r="I19" s="195"/>
      <c r="J19" s="2"/>
      <c r="K19" s="196"/>
      <c r="L19" s="2"/>
    </row>
    <row r="20" spans="1:12" x14ac:dyDescent="0.25">
      <c r="B20" s="2"/>
      <c r="C20" s="2"/>
      <c r="D20" s="2"/>
      <c r="E20" s="197"/>
      <c r="F20" s="2"/>
      <c r="G20" s="195"/>
      <c r="H20" s="2"/>
      <c r="I20"/>
      <c r="J20" s="2"/>
      <c r="K20" s="196"/>
      <c r="L20" s="2"/>
    </row>
    <row r="22" spans="1:12" x14ac:dyDescent="0.25">
      <c r="B22" s="2"/>
      <c r="C22" s="2"/>
      <c r="D22" s="2"/>
      <c r="E22" s="193"/>
      <c r="F22" s="2"/>
      <c r="G22" s="201"/>
      <c r="H22" s="2"/>
      <c r="I22" s="202"/>
      <c r="J22" s="2"/>
      <c r="K22" s="201"/>
      <c r="L22" s="2"/>
    </row>
    <row r="23" spans="1:12" x14ac:dyDescent="0.25">
      <c r="B23" s="2"/>
      <c r="C23" s="2"/>
      <c r="D23" s="202"/>
      <c r="E23" s="2"/>
      <c r="F23" s="2"/>
      <c r="G23" s="2"/>
      <c r="H23" s="2"/>
      <c r="I23" s="2"/>
      <c r="J23" s="2"/>
      <c r="K23" s="2"/>
      <c r="L23" s="2"/>
    </row>
    <row r="25" spans="1:12" x14ac:dyDescent="0.25"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"/>
    </row>
    <row r="26" spans="1:12" x14ac:dyDescent="0.25">
      <c r="B26" s="203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B27" s="2"/>
      <c r="C27" s="2"/>
      <c r="D27" s="204"/>
      <c r="E27" s="2"/>
      <c r="F27" s="2"/>
      <c r="G27" s="2"/>
      <c r="H27" s="2"/>
      <c r="I27" s="2"/>
      <c r="J27" s="2"/>
      <c r="K27" s="205"/>
      <c r="L27" s="2"/>
    </row>
    <row r="28" spans="1:12" x14ac:dyDescent="0.25">
      <c r="B28" s="2"/>
      <c r="C28" s="2"/>
      <c r="D28" s="2"/>
      <c r="E28" s="2"/>
      <c r="F28" s="2"/>
      <c r="G28" s="2"/>
      <c r="H28" s="2"/>
      <c r="I28"/>
      <c r="J28"/>
      <c r="K28"/>
      <c r="L28"/>
    </row>
    <row r="29" spans="1:12" x14ac:dyDescent="0.25">
      <c r="B29" s="2"/>
      <c r="C29" s="2"/>
      <c r="D29" s="2"/>
      <c r="E29" s="2"/>
      <c r="F29" s="2"/>
      <c r="G29" s="2"/>
      <c r="H29" s="2"/>
      <c r="I29"/>
      <c r="J29"/>
      <c r="K29"/>
      <c r="L29"/>
    </row>
    <row r="30" spans="1:12" x14ac:dyDescent="0.25">
      <c r="B30" s="2"/>
      <c r="C30" s="2"/>
      <c r="D30" s="204"/>
      <c r="E30" s="2"/>
      <c r="F30" s="2"/>
      <c r="G30" s="2"/>
      <c r="H30" s="2"/>
      <c r="I30"/>
      <c r="J30"/>
      <c r="K30"/>
      <c r="L30"/>
    </row>
    <row r="32" spans="1:12" ht="34.5" customHeight="1" x14ac:dyDescent="0.25"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"/>
    </row>
  </sheetData>
  <mergeCells count="7">
    <mergeCell ref="L13:Q15"/>
    <mergeCell ref="B32:K32"/>
    <mergeCell ref="B25:K25"/>
    <mergeCell ref="B4:K4"/>
    <mergeCell ref="B5:K5"/>
    <mergeCell ref="B7:K7"/>
    <mergeCell ref="B8:K8"/>
  </mergeCells>
  <phoneticPr fontId="7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indexed="10"/>
  </sheetPr>
  <dimension ref="A1:Q24"/>
  <sheetViews>
    <sheetView view="pageBreakPreview" zoomScale="115" zoomScaleNormal="125" zoomScaleSheetLayoutView="115" workbookViewId="0">
      <selection activeCell="N21" sqref="N21"/>
    </sheetView>
  </sheetViews>
  <sheetFormatPr defaultRowHeight="15.75" x14ac:dyDescent="0.25"/>
  <cols>
    <col min="4" max="4" width="10.5" customWidth="1"/>
    <col min="5" max="5" width="1.625" customWidth="1"/>
    <col min="6" max="6" width="10.5" customWidth="1"/>
    <col min="7" max="7" width="1.625" customWidth="1"/>
    <col min="8" max="8" width="10.5" customWidth="1"/>
    <col min="9" max="9" width="1.75" customWidth="1"/>
    <col min="10" max="10" width="11.125" bestFit="1" customWidth="1"/>
  </cols>
  <sheetData>
    <row r="1" spans="1:17" x14ac:dyDescent="0.25">
      <c r="J1" s="12" t="str">
        <f>+'Sch 1'!J1</f>
        <v>OUCC</v>
      </c>
    </row>
    <row r="2" spans="1:17" x14ac:dyDescent="0.25">
      <c r="J2" s="12" t="s">
        <v>376</v>
      </c>
    </row>
    <row r="3" spans="1:17" x14ac:dyDescent="0.25">
      <c r="J3" s="12" t="s">
        <v>101</v>
      </c>
    </row>
    <row r="4" spans="1:17" s="16" customFormat="1" ht="20.25" x14ac:dyDescent="0.3">
      <c r="A4" s="211" t="str">
        <f>+Inputs!$C$5</f>
        <v>Pleasantview Wastewater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7" s="16" customFormat="1" ht="18.75" x14ac:dyDescent="0.3">
      <c r="A5" s="207" t="str">
        <f>"CAUSE NUMBER "&amp;+Inputs!$C$6</f>
        <v>CAUSE NUMBER 46122-U</v>
      </c>
      <c r="B5" s="207"/>
      <c r="C5" s="207"/>
      <c r="D5" s="207"/>
      <c r="E5" s="207"/>
      <c r="F5" s="207"/>
      <c r="G5" s="207"/>
      <c r="H5" s="207"/>
      <c r="I5" s="207"/>
      <c r="J5" s="207"/>
      <c r="K5" s="75"/>
      <c r="L5" s="75"/>
      <c r="M5" s="75"/>
      <c r="N5" s="75"/>
      <c r="O5" s="75"/>
    </row>
    <row r="6" spans="1:17" x14ac:dyDescent="0.25">
      <c r="K6" s="74"/>
      <c r="L6" s="74"/>
      <c r="M6" s="74"/>
      <c r="N6" s="74"/>
      <c r="O6" s="74"/>
    </row>
    <row r="7" spans="1:17" s="13" customFormat="1" x14ac:dyDescent="0.25">
      <c r="A7" s="209" t="s">
        <v>377</v>
      </c>
      <c r="B7" s="209"/>
      <c r="C7" s="209"/>
      <c r="D7" s="209"/>
      <c r="E7" s="209"/>
      <c r="F7" s="209"/>
      <c r="G7" s="209"/>
      <c r="H7" s="209"/>
      <c r="I7" s="209"/>
      <c r="J7" s="209"/>
      <c r="K7" s="74"/>
      <c r="L7" s="74"/>
      <c r="M7" s="74"/>
      <c r="N7" s="74"/>
      <c r="O7" s="74"/>
      <c r="P7"/>
      <c r="Q7"/>
    </row>
    <row r="8" spans="1:17" x14ac:dyDescent="0.25">
      <c r="K8" s="74"/>
      <c r="L8" s="212"/>
      <c r="M8" s="212"/>
      <c r="N8" s="212"/>
      <c r="O8" s="212"/>
      <c r="P8" s="212"/>
      <c r="Q8" s="212"/>
    </row>
    <row r="9" spans="1:17" x14ac:dyDescent="0.25">
      <c r="D9" s="188"/>
      <c r="F9" s="188" t="s">
        <v>47</v>
      </c>
      <c r="H9" s="188" t="s">
        <v>40</v>
      </c>
      <c r="J9" s="188" t="s">
        <v>40</v>
      </c>
      <c r="K9" s="74"/>
      <c r="L9" s="212"/>
      <c r="M9" s="212"/>
      <c r="N9" s="212"/>
      <c r="O9" s="212"/>
      <c r="P9" s="212"/>
      <c r="Q9" s="212"/>
    </row>
    <row r="10" spans="1:17" x14ac:dyDescent="0.25">
      <c r="D10" s="5" t="s">
        <v>378</v>
      </c>
      <c r="F10" s="5" t="s">
        <v>59</v>
      </c>
      <c r="H10" s="5" t="s">
        <v>59</v>
      </c>
      <c r="J10" s="5" t="s">
        <v>49</v>
      </c>
      <c r="K10" s="74"/>
      <c r="L10" s="212"/>
      <c r="M10" s="212"/>
      <c r="N10" s="212"/>
      <c r="O10" s="212"/>
      <c r="P10" s="212"/>
      <c r="Q10" s="212"/>
    </row>
    <row r="11" spans="1:17" x14ac:dyDescent="0.25">
      <c r="A11" s="14" t="s">
        <v>379</v>
      </c>
      <c r="K11" s="73"/>
      <c r="L11" s="74"/>
      <c r="M11" s="74"/>
      <c r="N11" s="74"/>
      <c r="O11" s="74"/>
    </row>
    <row r="12" spans="1:17" x14ac:dyDescent="0.25">
      <c r="A12" t="s">
        <v>183</v>
      </c>
      <c r="D12" s="84">
        <v>42.27</v>
      </c>
      <c r="E12" s="41"/>
      <c r="F12" s="84">
        <f>ROUND(D12*(1+'Sch 1'!D22),4)</f>
        <v>65.7607</v>
      </c>
      <c r="G12" s="41"/>
      <c r="H12" s="84">
        <f>ROUND(D12*(1+'Sch 1'!F22),4)</f>
        <v>45.7027</v>
      </c>
      <c r="I12" s="41"/>
      <c r="J12" s="84">
        <f>+H12-F12</f>
        <v>-20.058</v>
      </c>
      <c r="K12" s="74"/>
      <c r="L12" s="224"/>
      <c r="M12" s="224"/>
      <c r="N12" s="224"/>
      <c r="O12" s="224"/>
      <c r="P12" s="224"/>
    </row>
    <row r="13" spans="1:17" x14ac:dyDescent="0.25">
      <c r="A13" t="s">
        <v>184</v>
      </c>
      <c r="D13" s="96">
        <v>42.27</v>
      </c>
      <c r="F13" s="84">
        <f>ROUND(D13*(1+'Sch 1'!D22),4)</f>
        <v>65.7607</v>
      </c>
      <c r="H13" s="84">
        <f>ROUND(D13*(1+'Sch 1'!F22),4)</f>
        <v>45.7027</v>
      </c>
      <c r="J13" s="84">
        <f>+H13-F13</f>
        <v>-20.058</v>
      </c>
      <c r="K13" s="74"/>
      <c r="L13" s="224"/>
      <c r="M13" s="224"/>
      <c r="N13" s="224"/>
      <c r="O13" s="224"/>
      <c r="P13" s="224"/>
    </row>
    <row r="14" spans="1:17" x14ac:dyDescent="0.25">
      <c r="K14" s="74"/>
      <c r="L14" s="224"/>
      <c r="M14" s="224"/>
      <c r="N14" s="224"/>
      <c r="O14" s="224"/>
      <c r="P14" s="224"/>
    </row>
    <row r="24" spans="1:1" x14ac:dyDescent="0.25">
      <c r="A24" s="14"/>
    </row>
  </sheetData>
  <mergeCells count="5">
    <mergeCell ref="L8:Q10"/>
    <mergeCell ref="L12:P14"/>
    <mergeCell ref="A7:J7"/>
    <mergeCell ref="A4:J4"/>
    <mergeCell ref="A5:J5"/>
  </mergeCells>
  <phoneticPr fontId="7" type="noConversion"/>
  <pageMargins left="0.75" right="0.75" top="1" bottom="1" header="0.5" footer="0.5"/>
  <pageSetup orientation="portrait" horizontalDpi="90" verticalDpi="9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3CF2F-17EA-4FC9-95BB-E5F06F7BEF4C}">
  <sheetPr>
    <tabColor rgb="FF0070C0"/>
  </sheetPr>
  <dimension ref="A1"/>
  <sheetViews>
    <sheetView workbookViewId="0">
      <selection activeCell="I7" sqref="I7"/>
    </sheetView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33"/>
  </sheetPr>
  <dimension ref="A1:BE73"/>
  <sheetViews>
    <sheetView zoomScaleNormal="100" workbookViewId="0">
      <selection activeCell="C7" sqref="C7"/>
    </sheetView>
  </sheetViews>
  <sheetFormatPr defaultRowHeight="15.75" x14ac:dyDescent="0.25"/>
  <cols>
    <col min="1" max="1" width="25.375" customWidth="1"/>
    <col min="2" max="2" width="1.25" customWidth="1"/>
    <col min="3" max="3" width="19.5" customWidth="1"/>
    <col min="4" max="4" width="1.625" customWidth="1"/>
    <col min="5" max="5" width="17.25" customWidth="1"/>
    <col min="6" max="6" width="1.625" customWidth="1"/>
    <col min="7" max="7" width="13" customWidth="1"/>
    <col min="8" max="8" width="1.375" customWidth="1"/>
    <col min="9" max="9" width="12" customWidth="1"/>
  </cols>
  <sheetData>
    <row r="1" spans="1:9" ht="20.25" x14ac:dyDescent="0.3">
      <c r="A1" s="9" t="s">
        <v>2</v>
      </c>
    </row>
    <row r="2" spans="1:9" ht="18.75" x14ac:dyDescent="0.3">
      <c r="A2" s="10" t="s">
        <v>3</v>
      </c>
      <c r="E2" s="15" t="s">
        <v>4</v>
      </c>
    </row>
    <row r="3" spans="1:9" ht="18.75" x14ac:dyDescent="0.3">
      <c r="A3" s="10"/>
      <c r="E3" s="16" t="s">
        <v>5</v>
      </c>
    </row>
    <row r="4" spans="1:9" ht="18.75" x14ac:dyDescent="0.3">
      <c r="A4" s="10"/>
    </row>
    <row r="5" spans="1:9" x14ac:dyDescent="0.25">
      <c r="A5" s="7" t="s">
        <v>6</v>
      </c>
      <c r="C5" s="15" t="s">
        <v>7</v>
      </c>
    </row>
    <row r="6" spans="1:9" x14ac:dyDescent="0.25">
      <c r="A6" s="7" t="s">
        <v>8</v>
      </c>
      <c r="C6" s="45" t="s">
        <v>9</v>
      </c>
    </row>
    <row r="7" spans="1:9" x14ac:dyDescent="0.25">
      <c r="A7" s="7"/>
    </row>
    <row r="8" spans="1:9" x14ac:dyDescent="0.25">
      <c r="A8" s="7" t="s">
        <v>10</v>
      </c>
      <c r="C8" s="55" t="s">
        <v>11</v>
      </c>
      <c r="E8" s="15">
        <v>2023</v>
      </c>
      <c r="G8" s="188"/>
      <c r="H8" s="188"/>
      <c r="I8" s="188"/>
    </row>
    <row r="9" spans="1:9" x14ac:dyDescent="0.25">
      <c r="A9" s="7"/>
      <c r="C9" s="81" t="str">
        <f>"12/31/2023"</f>
        <v>12/31/2023</v>
      </c>
      <c r="G9" s="188"/>
      <c r="H9" s="188"/>
      <c r="I9" s="188"/>
    </row>
    <row r="10" spans="1:9" x14ac:dyDescent="0.25">
      <c r="A10" s="7"/>
      <c r="G10" s="188"/>
      <c r="H10" s="188"/>
      <c r="I10" s="188"/>
    </row>
    <row r="11" spans="1:9" x14ac:dyDescent="0.25">
      <c r="A11" s="7" t="s">
        <v>12</v>
      </c>
      <c r="C11" s="60" t="s">
        <v>13</v>
      </c>
      <c r="G11" s="188"/>
      <c r="H11" s="188"/>
      <c r="I11" s="188"/>
    </row>
    <row r="12" spans="1:9" x14ac:dyDescent="0.25">
      <c r="A12" s="7"/>
      <c r="G12" s="188"/>
      <c r="H12" s="188"/>
      <c r="I12" s="188"/>
    </row>
    <row r="13" spans="1:9" s="48" customFormat="1" x14ac:dyDescent="0.25">
      <c r="A13" s="47" t="s">
        <v>14</v>
      </c>
      <c r="C13" s="49">
        <v>1.5E-3</v>
      </c>
      <c r="E13" s="47" t="s">
        <v>15</v>
      </c>
      <c r="G13" s="47" t="s">
        <v>16</v>
      </c>
    </row>
    <row r="14" spans="1:9" s="48" customFormat="1" x14ac:dyDescent="0.25">
      <c r="A14" s="47"/>
      <c r="C14" s="49"/>
      <c r="E14" s="47"/>
      <c r="G14" s="47"/>
    </row>
    <row r="15" spans="1:9" s="48" customFormat="1" x14ac:dyDescent="0.25">
      <c r="A15" s="47" t="s">
        <v>17</v>
      </c>
      <c r="C15" s="49">
        <v>0</v>
      </c>
      <c r="E15" s="47" t="s">
        <v>18</v>
      </c>
      <c r="G15" s="47" t="s">
        <v>19</v>
      </c>
    </row>
    <row r="16" spans="1:9" ht="16.5" thickBot="1" x14ac:dyDescent="0.3">
      <c r="A16" s="7"/>
      <c r="C16" s="28"/>
    </row>
    <row r="17" spans="1:13" x14ac:dyDescent="0.25">
      <c r="A17" s="7"/>
      <c r="C17" s="28"/>
      <c r="E17" s="112" t="s">
        <v>20</v>
      </c>
      <c r="F17" s="29"/>
      <c r="G17" s="30"/>
      <c r="H17" s="30"/>
      <c r="I17" s="11"/>
    </row>
    <row r="18" spans="1:13" x14ac:dyDescent="0.25">
      <c r="A18" s="7"/>
      <c r="E18" s="23"/>
      <c r="G18" s="5" t="s">
        <v>21</v>
      </c>
      <c r="H18" s="188"/>
      <c r="I18" s="31" t="s">
        <v>22</v>
      </c>
    </row>
    <row r="19" spans="1:13" x14ac:dyDescent="0.25">
      <c r="A19" s="7" t="s">
        <v>23</v>
      </c>
      <c r="C19" s="82">
        <f>I19</f>
        <v>2.5000000000000001E-2</v>
      </c>
      <c r="E19" s="23" t="s">
        <v>24</v>
      </c>
      <c r="G19" s="32">
        <v>0.02</v>
      </c>
      <c r="H19" s="32"/>
      <c r="I19" s="33">
        <v>2.5000000000000001E-2</v>
      </c>
    </row>
    <row r="20" spans="1:13" ht="16.5" thickBot="1" x14ac:dyDescent="0.3">
      <c r="A20" s="7"/>
      <c r="E20" s="24" t="s">
        <v>25</v>
      </c>
      <c r="F20" s="25"/>
      <c r="G20" s="34">
        <v>1.7000000000000001E-2</v>
      </c>
      <c r="H20" s="34"/>
      <c r="I20" s="35">
        <v>2.1999999999999999E-2</v>
      </c>
    </row>
    <row r="21" spans="1:13" x14ac:dyDescent="0.25">
      <c r="A21" s="7"/>
    </row>
    <row r="22" spans="1:13" x14ac:dyDescent="0.25">
      <c r="A22" s="7" t="s">
        <v>26</v>
      </c>
      <c r="C22" s="15"/>
      <c r="G22" t="s">
        <v>27</v>
      </c>
    </row>
    <row r="23" spans="1:13" x14ac:dyDescent="0.25">
      <c r="A23" s="7"/>
      <c r="E23" s="36"/>
      <c r="G23">
        <v>1</v>
      </c>
      <c r="I23" t="s">
        <v>28</v>
      </c>
    </row>
    <row r="24" spans="1:13" x14ac:dyDescent="0.25">
      <c r="A24" s="7" t="s">
        <v>29</v>
      </c>
      <c r="C24" s="15">
        <v>1</v>
      </c>
      <c r="E24" s="36">
        <v>42.27</v>
      </c>
      <c r="G24">
        <v>2</v>
      </c>
      <c r="I24" t="s">
        <v>30</v>
      </c>
    </row>
    <row r="25" spans="1:13" x14ac:dyDescent="0.25">
      <c r="A25" s="7" t="s">
        <v>31</v>
      </c>
    </row>
    <row r="26" spans="1:13" x14ac:dyDescent="0.25">
      <c r="A26" s="7"/>
    </row>
    <row r="27" spans="1:13" x14ac:dyDescent="0.25">
      <c r="A27" s="7" t="s">
        <v>32</v>
      </c>
      <c r="C27" s="17">
        <f>IF('Sch 3 - IS'!E39=0,0,ROUND('Sch 3 - IS'!E39/'Sch 3 - IS'!#REF!,5))</f>
        <v>0</v>
      </c>
      <c r="E27" s="7" t="s">
        <v>33</v>
      </c>
    </row>
    <row r="28" spans="1:13" x14ac:dyDescent="0.25">
      <c r="I28" s="14" t="s">
        <v>34</v>
      </c>
    </row>
    <row r="29" spans="1:13" x14ac:dyDescent="0.25">
      <c r="A29" s="7"/>
      <c r="C29" s="50"/>
      <c r="I29" s="57">
        <v>41091</v>
      </c>
      <c r="J29" s="58">
        <v>0.08</v>
      </c>
      <c r="L29" s="57">
        <v>43282</v>
      </c>
      <c r="M29" s="58">
        <v>5.7500000000000002E-2</v>
      </c>
    </row>
    <row r="30" spans="1:13" s="65" customFormat="1" ht="33" customHeight="1" x14ac:dyDescent="0.25">
      <c r="A30" s="64" t="s">
        <v>35</v>
      </c>
      <c r="C30" s="66">
        <f>+M32</f>
        <v>4.9000000000000002E-2</v>
      </c>
      <c r="E30" s="206" t="s">
        <v>36</v>
      </c>
      <c r="F30" s="206"/>
      <c r="G30" s="206"/>
      <c r="I30" s="67">
        <v>41456</v>
      </c>
      <c r="J30" s="68">
        <v>7.4999999999999997E-2</v>
      </c>
      <c r="L30" s="67">
        <v>43647</v>
      </c>
      <c r="M30" s="68">
        <v>5.5E-2</v>
      </c>
    </row>
    <row r="31" spans="1:13" x14ac:dyDescent="0.25">
      <c r="A31" s="7"/>
      <c r="C31" s="50"/>
      <c r="I31" s="57">
        <v>41821</v>
      </c>
      <c r="J31" s="59">
        <v>7.0000000000000007E-2</v>
      </c>
      <c r="L31" s="57">
        <v>44013</v>
      </c>
      <c r="M31" s="59">
        <v>5.2499999999999998E-2</v>
      </c>
    </row>
    <row r="32" spans="1:13" x14ac:dyDescent="0.25">
      <c r="A32" s="7" t="s">
        <v>37</v>
      </c>
      <c r="C32" s="51">
        <v>0.21</v>
      </c>
      <c r="E32" s="2" t="s">
        <v>38</v>
      </c>
      <c r="I32" s="57">
        <v>42186</v>
      </c>
      <c r="J32" s="59">
        <v>6.5000000000000002E-2</v>
      </c>
      <c r="L32" s="57">
        <v>44378</v>
      </c>
      <c r="M32" s="59">
        <v>4.9000000000000002E-2</v>
      </c>
    </row>
    <row r="33" spans="1:57" x14ac:dyDescent="0.25">
      <c r="A33" s="7"/>
      <c r="C33" s="50"/>
      <c r="I33" s="57">
        <v>42552</v>
      </c>
      <c r="J33" s="59">
        <v>6.25E-2</v>
      </c>
      <c r="L33" s="191" t="s">
        <v>39</v>
      </c>
      <c r="M33" s="59">
        <f>+M32</f>
        <v>4.9000000000000002E-2</v>
      </c>
    </row>
    <row r="34" spans="1:57" ht="15" customHeight="1" x14ac:dyDescent="0.25">
      <c r="A34" s="7"/>
      <c r="I34" s="57">
        <v>42917</v>
      </c>
      <c r="J34" s="59">
        <v>0.06</v>
      </c>
    </row>
    <row r="35" spans="1:57" x14ac:dyDescent="0.25">
      <c r="A35" s="7"/>
    </row>
    <row r="36" spans="1:57" s="19" customFormat="1" ht="8.25" customHeight="1" x14ac:dyDescent="0.2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57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x14ac:dyDescent="0.25">
      <c r="A38" s="7"/>
      <c r="D38" s="188"/>
      <c r="F38" s="188"/>
      <c r="G38" s="188"/>
    </row>
    <row r="39" spans="1:57" x14ac:dyDescent="0.25">
      <c r="A39" s="7"/>
      <c r="C39" s="20"/>
      <c r="D39" s="20"/>
      <c r="E39" s="20"/>
      <c r="F39" s="20"/>
      <c r="G39" s="20"/>
    </row>
    <row r="40" spans="1:57" x14ac:dyDescent="0.25">
      <c r="A40" s="7"/>
      <c r="C40" s="20"/>
      <c r="D40" s="20"/>
      <c r="E40" s="20"/>
      <c r="F40" s="20"/>
      <c r="G40" s="20"/>
    </row>
    <row r="41" spans="1:57" x14ac:dyDescent="0.25">
      <c r="A41" s="7"/>
      <c r="C41" s="20"/>
      <c r="D41" s="20"/>
      <c r="E41" s="20"/>
      <c r="F41" s="20"/>
      <c r="G41" s="20"/>
    </row>
    <row r="42" spans="1:57" x14ac:dyDescent="0.25">
      <c r="A42" s="7"/>
      <c r="C42" s="20"/>
      <c r="D42" s="20"/>
      <c r="E42" s="20"/>
      <c r="F42" s="20"/>
      <c r="G42" s="20"/>
    </row>
    <row r="43" spans="1:57" x14ac:dyDescent="0.25">
      <c r="A43" s="7"/>
      <c r="C43" s="20"/>
      <c r="D43" s="20"/>
      <c r="E43" s="20"/>
      <c r="F43" s="20"/>
      <c r="G43" s="20"/>
    </row>
    <row r="44" spans="1:57" x14ac:dyDescent="0.25">
      <c r="A44" s="7"/>
      <c r="C44" s="20"/>
      <c r="D44" s="20"/>
      <c r="E44" s="20"/>
      <c r="F44" s="20"/>
      <c r="G44" s="20"/>
    </row>
    <row r="45" spans="1:57" x14ac:dyDescent="0.25">
      <c r="A45" s="7"/>
      <c r="C45" s="20"/>
      <c r="D45" s="20"/>
      <c r="E45" s="20"/>
      <c r="F45" s="20"/>
      <c r="G45" s="20"/>
    </row>
    <row r="46" spans="1:57" x14ac:dyDescent="0.25">
      <c r="A46" s="7"/>
      <c r="C46" s="20"/>
      <c r="D46" s="20"/>
      <c r="E46" s="20"/>
      <c r="F46" s="20"/>
      <c r="G46" s="20"/>
    </row>
    <row r="47" spans="1:57" x14ac:dyDescent="0.25">
      <c r="A47" s="7"/>
      <c r="C47" s="20"/>
      <c r="D47" s="20"/>
      <c r="E47" s="20"/>
      <c r="F47" s="20"/>
      <c r="G47" s="20"/>
    </row>
    <row r="48" spans="1:57" x14ac:dyDescent="0.25">
      <c r="A48" s="7"/>
      <c r="C48" s="20"/>
      <c r="D48" s="20"/>
      <c r="E48" s="20"/>
      <c r="F48" s="20"/>
      <c r="G48" s="20"/>
    </row>
    <row r="49" spans="1:7" x14ac:dyDescent="0.25">
      <c r="A49" s="7"/>
      <c r="C49" s="20"/>
      <c r="D49" s="20"/>
      <c r="E49" s="20"/>
      <c r="F49" s="20"/>
      <c r="G49" s="20"/>
    </row>
    <row r="50" spans="1:7" x14ac:dyDescent="0.25">
      <c r="A50" s="7"/>
      <c r="C50" s="20"/>
      <c r="D50" s="20"/>
      <c r="E50" s="20"/>
      <c r="F50" s="20"/>
      <c r="G50" s="20"/>
    </row>
    <row r="51" spans="1:7" x14ac:dyDescent="0.25">
      <c r="A51" s="7"/>
      <c r="C51" s="20"/>
      <c r="D51" s="20"/>
      <c r="E51" s="20"/>
      <c r="F51" s="20"/>
      <c r="G51" s="20"/>
    </row>
    <row r="52" spans="1:7" x14ac:dyDescent="0.25">
      <c r="A52" s="7"/>
      <c r="C52" s="20"/>
      <c r="D52" s="20"/>
      <c r="E52" s="20"/>
      <c r="F52" s="20"/>
      <c r="G52" s="20"/>
    </row>
    <row r="53" spans="1:7" x14ac:dyDescent="0.25">
      <c r="A53" s="7"/>
      <c r="C53" s="20"/>
      <c r="D53" s="20"/>
      <c r="E53" s="20"/>
      <c r="F53" s="20"/>
      <c r="G53" s="20"/>
    </row>
    <row r="54" spans="1:7" x14ac:dyDescent="0.25">
      <c r="A54" s="7"/>
      <c r="C54" s="20"/>
      <c r="D54" s="20"/>
      <c r="E54" s="20"/>
      <c r="F54" s="20"/>
      <c r="G54" s="20"/>
    </row>
    <row r="55" spans="1:7" x14ac:dyDescent="0.25">
      <c r="A55" s="7"/>
      <c r="C55" s="20"/>
      <c r="D55" s="20"/>
      <c r="E55" s="20"/>
      <c r="F55" s="20"/>
      <c r="G55" s="20"/>
    </row>
    <row r="56" spans="1:7" x14ac:dyDescent="0.25">
      <c r="A56" s="7"/>
      <c r="C56" s="20"/>
      <c r="D56" s="20"/>
      <c r="E56" s="20"/>
      <c r="F56" s="20"/>
      <c r="G56" s="20"/>
    </row>
    <row r="57" spans="1:7" x14ac:dyDescent="0.25">
      <c r="A57" s="7"/>
      <c r="C57" s="20"/>
      <c r="D57" s="20"/>
      <c r="E57" s="20"/>
      <c r="F57" s="20"/>
      <c r="G57" s="20"/>
    </row>
    <row r="58" spans="1:7" x14ac:dyDescent="0.25">
      <c r="A58" s="7"/>
      <c r="C58" s="20"/>
      <c r="D58" s="20"/>
      <c r="E58" s="20"/>
      <c r="F58" s="20"/>
      <c r="G58" s="20"/>
    </row>
    <row r="59" spans="1:7" x14ac:dyDescent="0.25">
      <c r="A59" s="7"/>
      <c r="C59" s="20"/>
      <c r="D59" s="20"/>
      <c r="E59" s="20"/>
      <c r="F59" s="20"/>
      <c r="G59" s="20"/>
    </row>
    <row r="60" spans="1:7" x14ac:dyDescent="0.25">
      <c r="A60" s="7"/>
      <c r="C60" s="20"/>
      <c r="D60" s="20"/>
      <c r="E60" s="20"/>
      <c r="F60" s="20"/>
      <c r="G60" s="20"/>
    </row>
    <row r="61" spans="1:7" x14ac:dyDescent="0.25">
      <c r="A61" s="7"/>
      <c r="C61" s="20"/>
      <c r="D61" s="20"/>
      <c r="E61" s="20"/>
      <c r="F61" s="20"/>
      <c r="G61" s="20"/>
    </row>
    <row r="62" spans="1:7" x14ac:dyDescent="0.25">
      <c r="A62" s="7"/>
      <c r="C62" s="20"/>
      <c r="D62" s="20"/>
      <c r="E62" s="20"/>
      <c r="F62" s="20"/>
      <c r="G62" s="20"/>
    </row>
    <row r="63" spans="1:7" x14ac:dyDescent="0.25">
      <c r="A63" s="7"/>
      <c r="C63" s="20"/>
      <c r="D63" s="20"/>
      <c r="E63" s="20"/>
      <c r="F63" s="20"/>
      <c r="G63" s="20"/>
    </row>
    <row r="64" spans="1:7" x14ac:dyDescent="0.25">
      <c r="A64" s="7"/>
      <c r="C64" s="20"/>
      <c r="D64" s="20"/>
      <c r="E64" s="20"/>
      <c r="F64" s="20"/>
      <c r="G64" s="20"/>
    </row>
    <row r="65" spans="3:7" x14ac:dyDescent="0.25">
      <c r="C65" s="20"/>
      <c r="D65" s="20"/>
      <c r="E65" s="20"/>
      <c r="F65" s="20"/>
      <c r="G65" s="20"/>
    </row>
    <row r="66" spans="3:7" x14ac:dyDescent="0.25">
      <c r="C66" s="20"/>
      <c r="D66" s="20"/>
      <c r="E66" s="20"/>
      <c r="F66" s="20"/>
      <c r="G66" s="20"/>
    </row>
    <row r="67" spans="3:7" x14ac:dyDescent="0.25">
      <c r="C67" s="20"/>
      <c r="D67" s="20"/>
      <c r="E67" s="20"/>
      <c r="F67" s="20"/>
      <c r="G67" s="20"/>
    </row>
    <row r="68" spans="3:7" x14ac:dyDescent="0.25">
      <c r="C68" s="20"/>
      <c r="D68" s="20"/>
      <c r="E68" s="20"/>
      <c r="F68" s="20"/>
      <c r="G68" s="20"/>
    </row>
    <row r="69" spans="3:7" x14ac:dyDescent="0.25">
      <c r="C69" s="20"/>
      <c r="D69" s="20"/>
      <c r="E69" s="20"/>
      <c r="F69" s="20"/>
      <c r="G69" s="20"/>
    </row>
    <row r="70" spans="3:7" x14ac:dyDescent="0.25">
      <c r="C70" s="20"/>
      <c r="D70" s="20"/>
      <c r="E70" s="20"/>
      <c r="F70" s="20"/>
      <c r="G70" s="20"/>
    </row>
    <row r="71" spans="3:7" x14ac:dyDescent="0.25">
      <c r="C71" s="20"/>
      <c r="D71" s="20"/>
      <c r="E71" s="20"/>
      <c r="F71" s="20"/>
      <c r="G71" s="20"/>
    </row>
    <row r="72" spans="3:7" x14ac:dyDescent="0.25">
      <c r="C72" s="20"/>
      <c r="D72" s="20"/>
      <c r="E72" s="20"/>
      <c r="F72" s="20"/>
      <c r="G72" s="20"/>
    </row>
    <row r="73" spans="3:7" x14ac:dyDescent="0.25">
      <c r="C73" s="20"/>
    </row>
  </sheetData>
  <mergeCells count="1">
    <mergeCell ref="E30:G30"/>
  </mergeCells>
  <phoneticPr fontId="7" type="noConversion"/>
  <pageMargins left="0.75" right="0.75" top="1" bottom="1" header="0.5" footer="0.5"/>
  <pageSetup orientation="portrait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34"/>
  </sheetPr>
  <dimension ref="A1:P107"/>
  <sheetViews>
    <sheetView view="pageBreakPreview" topLeftCell="A2" zoomScale="85" zoomScaleNormal="100" zoomScaleSheetLayoutView="85" workbookViewId="0">
      <selection activeCell="T17" sqref="T17"/>
    </sheetView>
  </sheetViews>
  <sheetFormatPr defaultColWidth="9" defaultRowHeight="15.75" x14ac:dyDescent="0.25"/>
  <cols>
    <col min="1" max="1" width="4" style="2" customWidth="1"/>
    <col min="2" max="2" width="5.125" style="2" customWidth="1"/>
    <col min="3" max="3" width="36" style="2" customWidth="1"/>
    <col min="4" max="4" width="12.625" style="2" customWidth="1"/>
    <col min="5" max="5" width="1.5" style="2" customWidth="1"/>
    <col min="6" max="6" width="12.625" style="2" customWidth="1"/>
    <col min="7" max="7" width="1.625" style="2" customWidth="1"/>
    <col min="8" max="8" width="6.625" style="1" customWidth="1"/>
    <col min="9" max="9" width="1.625" style="2" customWidth="1"/>
    <col min="10" max="10" width="12.625" style="2" customWidth="1"/>
    <col min="11" max="16384" width="9" style="2"/>
  </cols>
  <sheetData>
    <row r="1" spans="1:10" x14ac:dyDescent="0.25">
      <c r="J1" s="12" t="s">
        <v>40</v>
      </c>
    </row>
    <row r="2" spans="1:10" x14ac:dyDescent="0.25">
      <c r="J2" s="12" t="s">
        <v>41</v>
      </c>
    </row>
    <row r="3" spans="1:10" x14ac:dyDescent="0.25">
      <c r="J3" s="12" t="s">
        <v>42</v>
      </c>
    </row>
    <row r="4" spans="1:10" s="3" customFormat="1" ht="20.25" x14ac:dyDescent="0.3">
      <c r="A4" s="211" t="str">
        <f>+Inputs!$C$5</f>
        <v>Pleasantview Wastewater</v>
      </c>
      <c r="B4" s="213"/>
      <c r="C4" s="213"/>
      <c r="D4" s="213"/>
      <c r="E4" s="213"/>
      <c r="F4" s="213"/>
      <c r="G4" s="213"/>
      <c r="H4" s="213"/>
      <c r="I4" s="213"/>
      <c r="J4" s="213"/>
    </row>
    <row r="5" spans="1:10" s="4" customFormat="1" ht="18.75" x14ac:dyDescent="0.3">
      <c r="A5" s="207" t="str">
        <f>"CAUSE NUMBER "&amp;+Inputs!$C$6</f>
        <v>CAUSE NUMBER 46122-U</v>
      </c>
      <c r="B5" s="213"/>
      <c r="C5" s="213"/>
      <c r="D5" s="213"/>
      <c r="E5" s="213"/>
      <c r="F5" s="213"/>
      <c r="G5" s="213"/>
      <c r="H5" s="213"/>
      <c r="I5" s="213"/>
      <c r="J5" s="213"/>
    </row>
    <row r="7" spans="1:10" x14ac:dyDescent="0.25">
      <c r="A7" s="209" t="s">
        <v>43</v>
      </c>
      <c r="B7" s="209"/>
      <c r="C7" s="209"/>
      <c r="D7" s="209"/>
      <c r="E7" s="209"/>
      <c r="F7" s="209"/>
      <c r="G7" s="209"/>
      <c r="H7" s="209"/>
      <c r="I7" s="209"/>
      <c r="J7" s="208"/>
    </row>
    <row r="8" spans="1:10" x14ac:dyDescent="0.25">
      <c r="A8" s="209" t="s">
        <v>44</v>
      </c>
      <c r="B8" s="209"/>
      <c r="C8" s="209"/>
      <c r="D8" s="209"/>
      <c r="E8" s="209"/>
      <c r="F8" s="209"/>
      <c r="G8" s="209"/>
      <c r="H8" s="209"/>
      <c r="I8" s="209"/>
      <c r="J8" s="208"/>
    </row>
    <row r="10" spans="1:10" x14ac:dyDescent="0.25">
      <c r="D10" s="188" t="s">
        <v>45</v>
      </c>
      <c r="E10" s="188"/>
      <c r="F10" s="188" t="s">
        <v>45</v>
      </c>
      <c r="H10" s="188" t="s">
        <v>46</v>
      </c>
      <c r="J10" s="188" t="s">
        <v>40</v>
      </c>
    </row>
    <row r="11" spans="1:10" x14ac:dyDescent="0.25">
      <c r="D11" s="5" t="s">
        <v>47</v>
      </c>
      <c r="E11" s="188"/>
      <c r="F11" s="5" t="s">
        <v>40</v>
      </c>
      <c r="H11" s="5" t="s">
        <v>48</v>
      </c>
      <c r="J11" s="5" t="s">
        <v>49</v>
      </c>
    </row>
    <row r="12" spans="1:10" ht="8.25" customHeight="1" x14ac:dyDescent="0.25"/>
    <row r="13" spans="1:10" x14ac:dyDescent="0.25">
      <c r="A13" s="70">
        <v>1</v>
      </c>
      <c r="B13" s="2" t="s">
        <v>50</v>
      </c>
      <c r="D13" s="38">
        <v>59485</v>
      </c>
      <c r="E13" s="38"/>
      <c r="F13" s="38">
        <f>+'Sch 7 - Rate Base'!G43</f>
        <v>66117.5</v>
      </c>
      <c r="G13" s="38"/>
      <c r="H13" s="106">
        <v>7</v>
      </c>
      <c r="I13" s="38"/>
      <c r="J13" s="38">
        <f t="shared" ref="J13:J19" si="0">+F13-D13</f>
        <v>6632.5</v>
      </c>
    </row>
    <row r="14" spans="1:10" x14ac:dyDescent="0.25">
      <c r="A14" s="70">
        <v>2</v>
      </c>
      <c r="B14" s="2" t="s">
        <v>51</v>
      </c>
      <c r="D14" s="83">
        <v>8.6699999999999985E-2</v>
      </c>
      <c r="E14" s="39"/>
      <c r="F14" s="83">
        <f>+'Sch 8 - Capital Structure'!K18</f>
        <v>4.5699999999999998E-2</v>
      </c>
      <c r="G14" s="39"/>
      <c r="H14" s="107">
        <v>8</v>
      </c>
      <c r="I14" s="39"/>
      <c r="J14" s="83">
        <f t="shared" si="0"/>
        <v>-4.0999999999999988E-2</v>
      </c>
    </row>
    <row r="15" spans="1:10" x14ac:dyDescent="0.25">
      <c r="A15" s="70">
        <v>3</v>
      </c>
      <c r="B15" s="2" t="s">
        <v>52</v>
      </c>
      <c r="D15" s="39">
        <f>5157+1</f>
        <v>5158</v>
      </c>
      <c r="E15" s="39"/>
      <c r="F15" s="39">
        <f>ROUND(F13*F14,0)</f>
        <v>3022</v>
      </c>
      <c r="G15" s="39"/>
      <c r="H15" s="107"/>
      <c r="I15" s="39"/>
      <c r="J15" s="39">
        <f t="shared" si="0"/>
        <v>-2136</v>
      </c>
    </row>
    <row r="16" spans="1:10" x14ac:dyDescent="0.25">
      <c r="A16" s="70"/>
      <c r="B16" s="2" t="s">
        <v>53</v>
      </c>
      <c r="D16" s="39"/>
      <c r="E16" s="39"/>
      <c r="F16" s="39"/>
      <c r="G16" s="39"/>
      <c r="H16" s="107"/>
      <c r="I16" s="39"/>
      <c r="J16" s="39"/>
    </row>
    <row r="17" spans="1:16" x14ac:dyDescent="0.25">
      <c r="A17" s="70">
        <v>4</v>
      </c>
      <c r="B17" s="2" t="s">
        <v>54</v>
      </c>
      <c r="D17" s="46">
        <f>-28870+1</f>
        <v>-28869</v>
      </c>
      <c r="E17" s="39"/>
      <c r="F17" s="46">
        <f>'Sch 4'!K78</f>
        <v>-5353</v>
      </c>
      <c r="G17" s="39"/>
      <c r="H17" s="107">
        <v>4</v>
      </c>
      <c r="I17" s="39"/>
      <c r="J17" s="46">
        <f t="shared" si="0"/>
        <v>23516</v>
      </c>
    </row>
    <row r="18" spans="1:16" x14ac:dyDescent="0.25">
      <c r="A18" s="70">
        <v>5</v>
      </c>
      <c r="B18" s="2" t="s">
        <v>55</v>
      </c>
      <c r="D18" s="39">
        <f>34027+1</f>
        <v>34028</v>
      </c>
      <c r="E18" s="39"/>
      <c r="F18" s="39">
        <f>+F15-F17</f>
        <v>8375</v>
      </c>
      <c r="G18" s="39"/>
      <c r="H18" s="107"/>
      <c r="I18" s="39"/>
      <c r="J18" s="39">
        <f t="shared" si="0"/>
        <v>-25653</v>
      </c>
    </row>
    <row r="19" spans="1:16" x14ac:dyDescent="0.25">
      <c r="A19" s="70">
        <v>6</v>
      </c>
      <c r="B19" s="2" t="s">
        <v>56</v>
      </c>
      <c r="D19" s="110">
        <v>1.3331</v>
      </c>
      <c r="E19" s="39"/>
      <c r="F19" s="110">
        <f>+F60</f>
        <v>1.0015000000000001</v>
      </c>
      <c r="G19" s="39"/>
      <c r="H19" s="107">
        <v>1</v>
      </c>
      <c r="I19" s="39"/>
      <c r="J19" s="110">
        <f t="shared" si="0"/>
        <v>-0.33159999999999989</v>
      </c>
    </row>
    <row r="20" spans="1:16" ht="16.5" thickBot="1" x14ac:dyDescent="0.3">
      <c r="A20" s="70">
        <v>7</v>
      </c>
      <c r="B20" s="2" t="s">
        <v>57</v>
      </c>
      <c r="D20" s="109">
        <f>45361-2</f>
        <v>45359</v>
      </c>
      <c r="F20" s="109">
        <f>ROUND(F18*F19,0)</f>
        <v>8388</v>
      </c>
      <c r="J20" s="109">
        <f>+F20-D20</f>
        <v>-36971</v>
      </c>
    </row>
    <row r="21" spans="1:16" ht="16.5" thickTop="1" x14ac:dyDescent="0.25">
      <c r="A21" s="70"/>
    </row>
    <row r="22" spans="1:16" ht="16.5" thickBot="1" x14ac:dyDescent="0.3">
      <c r="A22" s="70">
        <v>8</v>
      </c>
      <c r="B22" s="2" t="s">
        <v>58</v>
      </c>
      <c r="D22" s="40">
        <v>0.55573099999999998</v>
      </c>
      <c r="E22" s="110"/>
      <c r="F22" s="40">
        <f>ROUND(F20/'Sch 4'!K26,6)</f>
        <v>8.1210000000000004E-2</v>
      </c>
      <c r="G22" s="110"/>
      <c r="H22" s="111"/>
      <c r="I22" s="110"/>
      <c r="J22" s="40">
        <f>+F22-D22</f>
        <v>-0.47452099999999997</v>
      </c>
      <c r="K22" s="212"/>
      <c r="L22" s="212"/>
      <c r="M22" s="212"/>
      <c r="N22" s="212"/>
      <c r="O22" s="212"/>
      <c r="P22" s="212"/>
    </row>
    <row r="23" spans="1:16" ht="16.5" thickTop="1" x14ac:dyDescent="0.25">
      <c r="A23" s="70"/>
      <c r="K23" s="212"/>
      <c r="L23" s="212"/>
      <c r="M23" s="212"/>
      <c r="N23" s="212"/>
      <c r="O23" s="212"/>
      <c r="P23" s="212"/>
    </row>
    <row r="24" spans="1:16" ht="16.5" thickBot="1" x14ac:dyDescent="0.3">
      <c r="A24" s="70"/>
      <c r="K24" s="212"/>
      <c r="L24" s="212"/>
      <c r="M24" s="212"/>
      <c r="N24" s="212"/>
      <c r="O24" s="212"/>
      <c r="P24" s="212"/>
    </row>
    <row r="25" spans="1:16" x14ac:dyDescent="0.25">
      <c r="A25" s="70"/>
      <c r="B25" s="112"/>
      <c r="C25" s="113"/>
      <c r="D25" s="214" t="s">
        <v>59</v>
      </c>
      <c r="E25" s="214"/>
      <c r="F25" s="214"/>
      <c r="G25" s="113"/>
      <c r="H25" s="114"/>
      <c r="I25" s="113"/>
      <c r="J25" s="11" t="s">
        <v>40</v>
      </c>
      <c r="K25" s="73"/>
    </row>
    <row r="26" spans="1:16" x14ac:dyDescent="0.25">
      <c r="A26" s="70">
        <v>9</v>
      </c>
      <c r="B26" s="115" t="s">
        <v>29</v>
      </c>
      <c r="D26" s="116" t="s">
        <v>47</v>
      </c>
      <c r="E26" s="190"/>
      <c r="F26" s="116" t="s">
        <v>40</v>
      </c>
      <c r="J26" s="117" t="s">
        <v>49</v>
      </c>
      <c r="K26" s="73"/>
    </row>
    <row r="27" spans="1:16" x14ac:dyDescent="0.25">
      <c r="A27" s="70"/>
      <c r="B27" s="118"/>
      <c r="J27" s="119"/>
    </row>
    <row r="28" spans="1:16" x14ac:dyDescent="0.25">
      <c r="A28" s="70">
        <v>10</v>
      </c>
      <c r="B28" s="118"/>
      <c r="C28" s="120" t="str">
        <f>IF(Inputs!C24=1,"Current Rate = $"&amp;Inputs!E24)</f>
        <v>Current Rate = $42.27</v>
      </c>
      <c r="D28" s="121">
        <f>'Sch 9 - Tariff'!D12*(1+'Sch 1'!D22)</f>
        <v>65.760749369999999</v>
      </c>
      <c r="F28" s="121">
        <f>'Sch 9 - Tariff'!D12*(1+F22)</f>
        <v>45.702746700000006</v>
      </c>
      <c r="J28" s="122">
        <f>+F28-D28</f>
        <v>-20.058002669999993</v>
      </c>
    </row>
    <row r="29" spans="1:16" ht="16.5" thickBot="1" x14ac:dyDescent="0.3">
      <c r="A29" s="70"/>
      <c r="B29" s="123"/>
      <c r="C29" s="124"/>
      <c r="D29" s="124"/>
      <c r="E29" s="124"/>
      <c r="F29" s="124"/>
      <c r="G29" s="124"/>
      <c r="H29" s="125"/>
      <c r="I29" s="124"/>
      <c r="J29" s="126"/>
    </row>
    <row r="30" spans="1:16" x14ac:dyDescent="0.25">
      <c r="A30" s="70"/>
    </row>
    <row r="32" spans="1:16" x14ac:dyDescent="0.25">
      <c r="J32" s="12" t="str">
        <f>+J1</f>
        <v>OUCC</v>
      </c>
    </row>
    <row r="33" spans="1:10" x14ac:dyDescent="0.25">
      <c r="J33" s="12" t="s">
        <v>41</v>
      </c>
    </row>
    <row r="34" spans="1:10" x14ac:dyDescent="0.25">
      <c r="J34" s="12" t="s">
        <v>60</v>
      </c>
    </row>
    <row r="35" spans="1:10" s="37" customFormat="1" ht="20.25" x14ac:dyDescent="0.3">
      <c r="A35" s="211" t="str">
        <f>+Inputs!$C$5</f>
        <v>Pleasantview Wastewater</v>
      </c>
      <c r="B35" s="211"/>
      <c r="C35" s="211"/>
      <c r="D35" s="211"/>
      <c r="E35" s="211"/>
      <c r="F35" s="211"/>
      <c r="G35" s="211"/>
      <c r="H35" s="211"/>
      <c r="I35" s="211"/>
      <c r="J35" s="208"/>
    </row>
    <row r="36" spans="1:10" s="37" customFormat="1" ht="18.75" x14ac:dyDescent="0.3">
      <c r="A36" s="207" t="str">
        <f>"CAUSE NUMBER "&amp;+Inputs!$C$6</f>
        <v>CAUSE NUMBER 46122-U</v>
      </c>
      <c r="B36" s="207"/>
      <c r="C36" s="207"/>
      <c r="D36" s="207"/>
      <c r="E36" s="207"/>
      <c r="F36" s="207"/>
      <c r="G36" s="207"/>
      <c r="H36" s="207"/>
      <c r="I36" s="207"/>
      <c r="J36" s="208"/>
    </row>
    <row r="38" spans="1:10" x14ac:dyDescent="0.25">
      <c r="A38" s="209" t="s">
        <v>56</v>
      </c>
      <c r="B38" s="209"/>
      <c r="C38" s="209"/>
      <c r="D38" s="209"/>
      <c r="E38" s="209"/>
      <c r="F38" s="209"/>
      <c r="G38" s="209"/>
      <c r="H38" s="209"/>
      <c r="I38" s="209"/>
      <c r="J38" s="208"/>
    </row>
    <row r="40" spans="1:10" x14ac:dyDescent="0.25">
      <c r="C40" s="1"/>
      <c r="D40" s="188" t="str">
        <f>+D10</f>
        <v>Per</v>
      </c>
      <c r="E40" s="188"/>
      <c r="F40" s="188" t="str">
        <f>+F10</f>
        <v>Per</v>
      </c>
      <c r="G40" s="188"/>
      <c r="H40" s="188"/>
      <c r="I40" s="188"/>
      <c r="J40" s="188"/>
    </row>
    <row r="41" spans="1:10" x14ac:dyDescent="0.25">
      <c r="C41" s="1"/>
      <c r="D41" s="5" t="str">
        <f>+D11</f>
        <v>Petitioner</v>
      </c>
      <c r="E41" s="188"/>
      <c r="F41" s="5" t="str">
        <f>+F11</f>
        <v>OUCC</v>
      </c>
      <c r="G41" s="188"/>
      <c r="H41" s="188"/>
      <c r="I41" s="188"/>
      <c r="J41" s="188"/>
    </row>
    <row r="43" spans="1:10" x14ac:dyDescent="0.25">
      <c r="A43" s="70">
        <v>1</v>
      </c>
      <c r="B43" s="2" t="s">
        <v>61</v>
      </c>
      <c r="D43" s="108">
        <v>1</v>
      </c>
      <c r="F43" s="108">
        <v>1</v>
      </c>
      <c r="J43" s="71">
        <f>+F20</f>
        <v>8388</v>
      </c>
    </row>
    <row r="44" spans="1:10" x14ac:dyDescent="0.25">
      <c r="A44" s="70">
        <v>2</v>
      </c>
      <c r="B44" s="2" t="s">
        <v>62</v>
      </c>
      <c r="C44" s="2" t="s">
        <v>63</v>
      </c>
      <c r="D44" s="127">
        <v>0</v>
      </c>
      <c r="F44" s="127">
        <f>+Inputs!C27</f>
        <v>0</v>
      </c>
      <c r="J44" s="129">
        <f>ROUND(F44*J43,0)</f>
        <v>0</v>
      </c>
    </row>
    <row r="45" spans="1:10" x14ac:dyDescent="0.25">
      <c r="A45" s="70"/>
      <c r="J45" s="130"/>
    </row>
    <row r="46" spans="1:10" x14ac:dyDescent="0.25">
      <c r="A46" s="70">
        <v>3</v>
      </c>
      <c r="B46" s="2" t="s">
        <v>64</v>
      </c>
      <c r="D46" s="131">
        <v>1</v>
      </c>
      <c r="F46" s="131">
        <f>+F43-F44</f>
        <v>1</v>
      </c>
      <c r="J46" s="130"/>
    </row>
    <row r="47" spans="1:10" x14ac:dyDescent="0.25">
      <c r="A47" s="70">
        <v>4</v>
      </c>
      <c r="B47" s="2" t="s">
        <v>65</v>
      </c>
      <c r="C47" s="2" t="str">
        <f>"IURC Fee               ("&amp;Inputs!C13&amp;" of Line 3)"</f>
        <v>IURC Fee               (0.0015 of Line 3)</v>
      </c>
      <c r="D47" s="132">
        <v>1.5E-3</v>
      </c>
      <c r="F47" s="132">
        <f>ROUND(F46*+Inputs!C13,10)</f>
        <v>1.5E-3</v>
      </c>
      <c r="J47" s="129">
        <f>ROUND(F47*J43,0)</f>
        <v>13</v>
      </c>
    </row>
    <row r="48" spans="1:10" x14ac:dyDescent="0.25">
      <c r="A48" s="70"/>
      <c r="D48" s="133"/>
      <c r="J48" s="130"/>
    </row>
    <row r="49" spans="1:16" x14ac:dyDescent="0.25">
      <c r="A49" s="70">
        <v>5</v>
      </c>
      <c r="B49" s="2" t="s">
        <v>66</v>
      </c>
      <c r="D49" s="133">
        <v>0.99850000000000005</v>
      </c>
      <c r="F49" s="134">
        <f>+F46-F47</f>
        <v>0.99850000000000005</v>
      </c>
      <c r="J49" s="130"/>
    </row>
    <row r="50" spans="1:16" x14ac:dyDescent="0.25">
      <c r="A50" s="70"/>
      <c r="D50" s="108"/>
      <c r="F50" s="108"/>
      <c r="J50" s="12"/>
    </row>
    <row r="51" spans="1:16" x14ac:dyDescent="0.25">
      <c r="A51" s="70">
        <v>6</v>
      </c>
      <c r="B51" s="2" t="s">
        <v>67</v>
      </c>
      <c r="C51" s="2" t="str">
        <f>"State Income Tax            ("&amp;+Inputs!C30&amp;" of Line 5)"</f>
        <v>State Income Tax            (0.049 of Line 5)</v>
      </c>
      <c r="D51" s="128">
        <v>4.8927999999999999E-2</v>
      </c>
      <c r="F51" s="128">
        <v>0</v>
      </c>
      <c r="J51" s="135">
        <f>ROUND(F51*$J$43,0)</f>
        <v>0</v>
      </c>
    </row>
    <row r="52" spans="1:16" x14ac:dyDescent="0.25">
      <c r="A52" s="70">
        <v>7</v>
      </c>
      <c r="C52" s="2" t="str">
        <f>"Utility Receipts Tax       ("&amp;+Inputs!C15&amp;" of Line 3)"</f>
        <v>Utility Receipts Tax       (0 of Line 3)</v>
      </c>
      <c r="D52" s="127">
        <v>0</v>
      </c>
      <c r="F52" s="127">
        <f>ROUND(F46*+Inputs!C15,6)</f>
        <v>0</v>
      </c>
      <c r="J52" s="129">
        <f>ROUND(F52*J43,0)</f>
        <v>0</v>
      </c>
    </row>
    <row r="53" spans="1:16" x14ac:dyDescent="0.25">
      <c r="A53" s="70"/>
      <c r="D53" s="108"/>
      <c r="F53" s="108"/>
      <c r="J53" s="12"/>
      <c r="K53" s="212"/>
      <c r="L53" s="212"/>
      <c r="M53" s="212"/>
      <c r="N53" s="212"/>
      <c r="O53" s="212"/>
      <c r="P53" s="212"/>
    </row>
    <row r="54" spans="1:16" x14ac:dyDescent="0.25">
      <c r="A54" s="70">
        <v>8</v>
      </c>
      <c r="B54" s="2" t="s">
        <v>68</v>
      </c>
      <c r="D54" s="108">
        <v>0.94957200000000008</v>
      </c>
      <c r="F54" s="108">
        <f>+F49-F51-F52</f>
        <v>0.99850000000000005</v>
      </c>
      <c r="J54" s="136"/>
      <c r="K54" s="212"/>
      <c r="L54" s="212"/>
      <c r="M54" s="212"/>
      <c r="N54" s="212"/>
      <c r="O54" s="212"/>
      <c r="P54" s="212"/>
    </row>
    <row r="55" spans="1:16" x14ac:dyDescent="0.25">
      <c r="A55" s="70"/>
      <c r="D55" s="108"/>
      <c r="F55" s="108"/>
      <c r="J55" s="12"/>
      <c r="K55" s="212"/>
      <c r="L55" s="212"/>
      <c r="M55" s="212"/>
      <c r="N55" s="212"/>
      <c r="O55" s="212"/>
      <c r="P55" s="212"/>
    </row>
    <row r="56" spans="1:16" x14ac:dyDescent="0.25">
      <c r="A56" s="70">
        <v>9</v>
      </c>
      <c r="B56" s="2" t="s">
        <v>65</v>
      </c>
      <c r="C56" s="2" t="str">
        <f>"Federal income Tax          ("&amp;+Inputs!C32&amp;" of Line 8)"</f>
        <v>Federal income Tax          (0.21 of Line 8)</v>
      </c>
      <c r="D56" s="127">
        <v>0.19941700000000001</v>
      </c>
      <c r="F56" s="127">
        <v>0</v>
      </c>
      <c r="J56" s="137">
        <f>ROUND(F56*$J$43,0)</f>
        <v>0</v>
      </c>
      <c r="K56" s="212"/>
      <c r="L56" s="212"/>
      <c r="M56" s="212"/>
      <c r="N56" s="212"/>
      <c r="O56" s="212"/>
      <c r="P56" s="212"/>
    </row>
    <row r="57" spans="1:16" x14ac:dyDescent="0.25">
      <c r="A57" s="70"/>
      <c r="D57" s="128"/>
      <c r="F57" s="128"/>
      <c r="J57" s="12"/>
    </row>
    <row r="58" spans="1:16" ht="16.5" thickBot="1" x14ac:dyDescent="0.3">
      <c r="A58" s="70">
        <v>10</v>
      </c>
      <c r="B58" s="2" t="s">
        <v>69</v>
      </c>
      <c r="D58" s="138">
        <v>0.75015500000000013</v>
      </c>
      <c r="F58" s="138">
        <f>+F54-F56</f>
        <v>0.99850000000000005</v>
      </c>
      <c r="J58" s="145">
        <f>+J43-SUM(J44:J56)</f>
        <v>8375</v>
      </c>
    </row>
    <row r="59" spans="1:16" ht="16.5" thickTop="1" x14ac:dyDescent="0.25">
      <c r="A59" s="70"/>
      <c r="D59" s="128"/>
      <c r="F59" s="128"/>
      <c r="J59" s="12"/>
    </row>
    <row r="60" spans="1:16" ht="16.5" thickBot="1" x14ac:dyDescent="0.3">
      <c r="A60" s="70">
        <v>11</v>
      </c>
      <c r="B60" s="2" t="s">
        <v>56</v>
      </c>
      <c r="D60" s="138">
        <v>1.3331</v>
      </c>
      <c r="F60" s="138">
        <f>ROUND(1/F58,4)</f>
        <v>1.0015000000000001</v>
      </c>
      <c r="J60" s="12"/>
    </row>
    <row r="61" spans="1:16" ht="16.5" thickTop="1" x14ac:dyDescent="0.25">
      <c r="A61" s="139"/>
      <c r="D61" s="128"/>
      <c r="F61" s="128"/>
      <c r="J61" s="12"/>
    </row>
    <row r="62" spans="1:16" x14ac:dyDescent="0.25">
      <c r="A62" s="139"/>
      <c r="D62" s="128"/>
      <c r="F62" s="128"/>
      <c r="J62" s="12"/>
    </row>
    <row r="63" spans="1:16" x14ac:dyDescent="0.25">
      <c r="D63" s="128"/>
      <c r="F63" s="128"/>
      <c r="J63" s="12" t="str">
        <f>+J1</f>
        <v>OUCC</v>
      </c>
    </row>
    <row r="64" spans="1:16" x14ac:dyDescent="0.25">
      <c r="D64" s="108"/>
      <c r="F64" s="108"/>
      <c r="J64" s="12" t="s">
        <v>41</v>
      </c>
    </row>
    <row r="65" spans="1:13" x14ac:dyDescent="0.25">
      <c r="J65" s="12" t="s">
        <v>70</v>
      </c>
    </row>
    <row r="66" spans="1:13" s="37" customFormat="1" ht="20.25" x14ac:dyDescent="0.3">
      <c r="A66" s="211" t="str">
        <f>+Inputs!$C$5</f>
        <v>Pleasantview Wastewater</v>
      </c>
      <c r="B66" s="211"/>
      <c r="C66" s="211"/>
      <c r="D66" s="211"/>
      <c r="E66" s="211"/>
      <c r="F66" s="211"/>
      <c r="G66" s="211"/>
      <c r="H66" s="211"/>
      <c r="I66" s="211"/>
      <c r="J66" s="208"/>
    </row>
    <row r="67" spans="1:13" s="37" customFormat="1" ht="18.75" x14ac:dyDescent="0.3">
      <c r="A67" s="207" t="str">
        <f>"CAUSE NUMBER "&amp;+Inputs!$C$6</f>
        <v>CAUSE NUMBER 46122-U</v>
      </c>
      <c r="B67" s="207"/>
      <c r="C67" s="207"/>
      <c r="D67" s="207"/>
      <c r="E67" s="207"/>
      <c r="F67" s="207"/>
      <c r="G67" s="207"/>
      <c r="H67" s="207"/>
      <c r="I67" s="207"/>
      <c r="J67" s="208"/>
    </row>
    <row r="69" spans="1:13" x14ac:dyDescent="0.25">
      <c r="A69" s="209" t="s">
        <v>71</v>
      </c>
      <c r="B69" s="209"/>
      <c r="C69" s="209"/>
      <c r="D69" s="209"/>
      <c r="E69" s="209"/>
      <c r="F69" s="209"/>
      <c r="G69" s="209"/>
      <c r="H69" s="209"/>
      <c r="I69" s="209"/>
      <c r="J69" s="208"/>
    </row>
    <row r="70" spans="1:13" x14ac:dyDescent="0.25">
      <c r="A70" s="210" t="s">
        <v>72</v>
      </c>
      <c r="B70" s="209"/>
      <c r="C70" s="209"/>
      <c r="D70" s="209"/>
      <c r="E70" s="209"/>
      <c r="F70" s="209"/>
      <c r="G70" s="209"/>
      <c r="H70" s="209"/>
      <c r="I70" s="209"/>
      <c r="J70" s="208"/>
    </row>
    <row r="72" spans="1:13" x14ac:dyDescent="0.25">
      <c r="C72" s="1"/>
      <c r="D72" s="188" t="str">
        <f>+D10</f>
        <v>Per</v>
      </c>
      <c r="E72" s="188"/>
      <c r="F72" s="188" t="str">
        <f>+F10</f>
        <v>Per</v>
      </c>
      <c r="G72" s="188"/>
      <c r="H72" s="188"/>
      <c r="I72" s="188"/>
      <c r="J72" s="188" t="str">
        <f>+J10</f>
        <v>OUCC</v>
      </c>
    </row>
    <row r="73" spans="1:13" x14ac:dyDescent="0.25">
      <c r="C73" s="1"/>
      <c r="D73" s="5" t="str">
        <f>+D11</f>
        <v>Petitioner</v>
      </c>
      <c r="E73" s="188"/>
      <c r="F73" s="5" t="str">
        <f>+F11</f>
        <v>OUCC</v>
      </c>
      <c r="G73" s="188"/>
      <c r="H73" s="188"/>
      <c r="I73" s="188"/>
      <c r="J73" s="5" t="str">
        <f>+J11</f>
        <v>More (Less)</v>
      </c>
    </row>
    <row r="74" spans="1:13" ht="6" customHeight="1" x14ac:dyDescent="0.25"/>
    <row r="75" spans="1:13" x14ac:dyDescent="0.25">
      <c r="A75" s="70">
        <v>1</v>
      </c>
      <c r="B75" t="s">
        <v>73</v>
      </c>
      <c r="C75"/>
      <c r="D75"/>
    </row>
    <row r="76" spans="1:13" x14ac:dyDescent="0.25">
      <c r="A76" s="70">
        <v>2</v>
      </c>
      <c r="B76"/>
      <c r="C76" s="2" t="s">
        <v>74</v>
      </c>
      <c r="D76" s="41">
        <v>0</v>
      </c>
      <c r="E76" s="38"/>
      <c r="F76" s="38">
        <f>'Sch 4'!G15</f>
        <v>21585</v>
      </c>
      <c r="G76" s="38"/>
      <c r="H76" s="140"/>
      <c r="I76" s="38"/>
      <c r="J76" s="38">
        <f>+F76-D76</f>
        <v>21585</v>
      </c>
      <c r="K76" s="74"/>
    </row>
    <row r="77" spans="1:13" x14ac:dyDescent="0.25">
      <c r="A77" s="70">
        <v>3</v>
      </c>
      <c r="B77"/>
      <c r="C77" s="2" t="s">
        <v>75</v>
      </c>
      <c r="D77" s="42">
        <v>297</v>
      </c>
      <c r="F77" s="39">
        <f>'Sch 4'!G16</f>
        <v>376</v>
      </c>
      <c r="J77" s="39">
        <f>+F77-D77</f>
        <v>79</v>
      </c>
    </row>
    <row r="78" spans="1:13" ht="5.0999999999999996" customHeight="1" x14ac:dyDescent="0.25">
      <c r="A78" s="70"/>
      <c r="B78"/>
      <c r="C78"/>
      <c r="D78" s="42"/>
      <c r="F78" s="39"/>
      <c r="J78" s="39">
        <f>+F78-D78</f>
        <v>0</v>
      </c>
    </row>
    <row r="79" spans="1:13" x14ac:dyDescent="0.25">
      <c r="A79" s="70">
        <v>4</v>
      </c>
      <c r="B79" t="str">
        <f>+'Sch 4'!C31</f>
        <v>Total Operating Revenues</v>
      </c>
      <c r="D79" s="43">
        <f>SUM(D76:D78)</f>
        <v>297</v>
      </c>
      <c r="F79" s="43">
        <f>SUM(F76:F78)</f>
        <v>21961</v>
      </c>
      <c r="J79" s="43">
        <f>SUM(J76:J78)</f>
        <v>21664</v>
      </c>
      <c r="M79" s="8"/>
    </row>
    <row r="80" spans="1:13" x14ac:dyDescent="0.25">
      <c r="A80" s="70"/>
      <c r="B80"/>
      <c r="C80"/>
      <c r="D80"/>
      <c r="J80" s="39"/>
    </row>
    <row r="81" spans="1:10" x14ac:dyDescent="0.25">
      <c r="A81" s="70">
        <f>A79+1</f>
        <v>5</v>
      </c>
      <c r="B81" t="s">
        <v>76</v>
      </c>
      <c r="C81"/>
      <c r="D81"/>
      <c r="J81" s="39"/>
    </row>
    <row r="82" spans="1:10" x14ac:dyDescent="0.25">
      <c r="A82" s="70">
        <f>A81+1</f>
        <v>6</v>
      </c>
      <c r="B82"/>
      <c r="C82" s="2" t="s">
        <v>77</v>
      </c>
      <c r="D82" s="39">
        <v>7608</v>
      </c>
      <c r="E82" s="39"/>
      <c r="F82" s="39">
        <f>'Sch 4'!G35</f>
        <v>3608</v>
      </c>
      <c r="G82" s="39"/>
      <c r="H82" s="141"/>
      <c r="I82" s="39"/>
      <c r="J82" s="39">
        <f>+F82-D82</f>
        <v>-4000</v>
      </c>
    </row>
    <row r="83" spans="1:10" x14ac:dyDescent="0.25">
      <c r="A83" s="70">
        <f t="shared" ref="A83:A102" si="1">A82+1</f>
        <v>7</v>
      </c>
      <c r="B83"/>
      <c r="C83" s="2" t="s">
        <v>78</v>
      </c>
      <c r="D83" s="42">
        <v>1498</v>
      </c>
      <c r="E83" s="39"/>
      <c r="F83" s="39">
        <f>'Sch 4'!G34</f>
        <v>948</v>
      </c>
      <c r="G83" s="39"/>
      <c r="H83" s="141"/>
      <c r="I83" s="39"/>
      <c r="J83" s="39">
        <f t="shared" ref="J83:J94" si="2">+F83-D83</f>
        <v>-550</v>
      </c>
    </row>
    <row r="84" spans="1:10" x14ac:dyDescent="0.25">
      <c r="A84" s="70">
        <f t="shared" si="1"/>
        <v>8</v>
      </c>
      <c r="B84"/>
      <c r="C84" s="2" t="s">
        <v>79</v>
      </c>
      <c r="D84" s="42">
        <v>6000</v>
      </c>
      <c r="E84" s="39"/>
      <c r="F84" s="39">
        <v>0</v>
      </c>
      <c r="G84" s="39"/>
      <c r="H84" s="141"/>
      <c r="I84" s="39"/>
      <c r="J84" s="39">
        <f t="shared" si="2"/>
        <v>-6000</v>
      </c>
    </row>
    <row r="85" spans="1:10" x14ac:dyDescent="0.25">
      <c r="A85" s="70">
        <f t="shared" si="1"/>
        <v>9</v>
      </c>
      <c r="B85"/>
      <c r="C85" s="2" t="s">
        <v>80</v>
      </c>
      <c r="D85" s="42">
        <v>2</v>
      </c>
      <c r="E85" s="39"/>
      <c r="F85" s="39">
        <f>'Sch 4'!G37</f>
        <v>2</v>
      </c>
      <c r="G85" s="39"/>
      <c r="H85" s="141"/>
      <c r="I85" s="39"/>
      <c r="J85" s="39">
        <f t="shared" si="2"/>
        <v>0</v>
      </c>
    </row>
    <row r="86" spans="1:10" x14ac:dyDescent="0.25">
      <c r="A86" s="70">
        <f t="shared" si="1"/>
        <v>10</v>
      </c>
      <c r="B86"/>
      <c r="C86" s="2" t="s">
        <v>81</v>
      </c>
      <c r="D86" s="42">
        <v>41</v>
      </c>
      <c r="E86" s="39"/>
      <c r="F86" s="39">
        <f>'Sch 4'!G38</f>
        <v>41</v>
      </c>
      <c r="G86" s="39"/>
      <c r="H86" s="141"/>
      <c r="I86" s="39"/>
      <c r="J86" s="39">
        <f t="shared" si="2"/>
        <v>0</v>
      </c>
    </row>
    <row r="87" spans="1:10" x14ac:dyDescent="0.25">
      <c r="A87" s="70">
        <f t="shared" si="1"/>
        <v>11</v>
      </c>
      <c r="B87"/>
      <c r="C87" s="2" t="s">
        <v>82</v>
      </c>
      <c r="D87" s="42">
        <v>-7148</v>
      </c>
      <c r="E87" s="39"/>
      <c r="F87" s="39">
        <v>0</v>
      </c>
      <c r="G87" s="39"/>
      <c r="H87" s="141"/>
      <c r="I87" s="39"/>
      <c r="J87" s="39">
        <f t="shared" si="2"/>
        <v>7148</v>
      </c>
    </row>
    <row r="88" spans="1:10" x14ac:dyDescent="0.25">
      <c r="A88" s="70">
        <f t="shared" si="1"/>
        <v>12</v>
      </c>
      <c r="B88"/>
      <c r="C88" s="2" t="s">
        <v>83</v>
      </c>
      <c r="D88" s="42">
        <v>352</v>
      </c>
      <c r="E88" s="39"/>
      <c r="F88" s="39">
        <f>'Sch 4'!G53</f>
        <v>352</v>
      </c>
      <c r="G88" s="39"/>
      <c r="H88" s="141"/>
      <c r="I88" s="39"/>
      <c r="J88" s="39">
        <f t="shared" si="2"/>
        <v>0</v>
      </c>
    </row>
    <row r="89" spans="1:10" x14ac:dyDescent="0.25">
      <c r="A89" s="70">
        <f t="shared" si="1"/>
        <v>13</v>
      </c>
      <c r="B89"/>
      <c r="C89" s="2" t="s">
        <v>84</v>
      </c>
      <c r="D89" s="42">
        <v>1500</v>
      </c>
      <c r="E89" s="39"/>
      <c r="F89" s="39">
        <f>'Sch 4'!G59</f>
        <v>1500</v>
      </c>
      <c r="G89" s="39"/>
      <c r="H89" s="141"/>
      <c r="I89" s="39"/>
      <c r="J89" s="39">
        <f t="shared" si="2"/>
        <v>0</v>
      </c>
    </row>
    <row r="90" spans="1:10" x14ac:dyDescent="0.25">
      <c r="A90" s="70">
        <f t="shared" si="1"/>
        <v>14</v>
      </c>
      <c r="B90"/>
      <c r="C90" s="2" t="s">
        <v>85</v>
      </c>
      <c r="D90" s="42">
        <v>7</v>
      </c>
      <c r="E90" s="39"/>
      <c r="F90" s="39">
        <f>'Sch 4'!G63</f>
        <v>7</v>
      </c>
      <c r="G90" s="39"/>
      <c r="H90" s="141"/>
      <c r="I90" s="39"/>
      <c r="J90" s="39">
        <f t="shared" si="2"/>
        <v>0</v>
      </c>
    </row>
    <row r="91" spans="1:10" x14ac:dyDescent="0.25">
      <c r="A91" s="70">
        <f t="shared" si="1"/>
        <v>15</v>
      </c>
      <c r="B91"/>
      <c r="C91" s="2" t="s">
        <v>86</v>
      </c>
      <c r="D91" s="42">
        <v>0</v>
      </c>
      <c r="E91" s="39"/>
      <c r="F91" s="39">
        <f>'Sch 4'!G64</f>
        <v>-1093</v>
      </c>
      <c r="G91" s="39"/>
      <c r="H91" s="141"/>
      <c r="I91" s="39"/>
      <c r="J91" s="39">
        <f t="shared" si="2"/>
        <v>-1093</v>
      </c>
    </row>
    <row r="92" spans="1:10" x14ac:dyDescent="0.25">
      <c r="A92" s="70">
        <f t="shared" si="1"/>
        <v>16</v>
      </c>
      <c r="B92"/>
      <c r="C92" s="2" t="s">
        <v>14</v>
      </c>
      <c r="D92" s="42">
        <v>-28</v>
      </c>
      <c r="E92" s="39"/>
      <c r="F92" s="39">
        <f>'Sch 4'!G60</f>
        <v>7</v>
      </c>
      <c r="G92" s="39"/>
      <c r="H92" s="141"/>
      <c r="I92" s="39"/>
      <c r="J92" s="39">
        <f t="shared" si="2"/>
        <v>35</v>
      </c>
    </row>
    <row r="93" spans="1:10" x14ac:dyDescent="0.25">
      <c r="A93" s="70">
        <f t="shared" si="1"/>
        <v>17</v>
      </c>
      <c r="B93"/>
      <c r="C93" s="2" t="s">
        <v>87</v>
      </c>
      <c r="D93" s="42">
        <v>4920</v>
      </c>
      <c r="E93" s="39"/>
      <c r="F93" s="39">
        <f>'Sch 4'!G48</f>
        <v>4920</v>
      </c>
      <c r="G93" s="39"/>
      <c r="H93" s="141"/>
      <c r="I93" s="39"/>
      <c r="J93" s="39">
        <f t="shared" si="2"/>
        <v>0</v>
      </c>
    </row>
    <row r="94" spans="1:10" x14ac:dyDescent="0.25">
      <c r="A94" s="70">
        <f>A93+1</f>
        <v>18</v>
      </c>
      <c r="B94"/>
      <c r="C94" s="2" t="s">
        <v>88</v>
      </c>
      <c r="D94" s="42">
        <v>15318</v>
      </c>
      <c r="E94" s="39"/>
      <c r="F94" s="39">
        <f>'Sch 4'!G49</f>
        <v>15318</v>
      </c>
      <c r="G94" s="39"/>
      <c r="H94" s="141"/>
      <c r="I94" s="39"/>
      <c r="J94" s="39">
        <f t="shared" si="2"/>
        <v>0</v>
      </c>
    </row>
    <row r="95" spans="1:10" x14ac:dyDescent="0.25">
      <c r="A95" s="70">
        <f t="shared" si="1"/>
        <v>19</v>
      </c>
      <c r="B95" t="s">
        <v>89</v>
      </c>
      <c r="C95"/>
      <c r="D95" s="42">
        <v>-8850</v>
      </c>
      <c r="E95" s="39"/>
      <c r="F95" s="39">
        <f>+'Sch 4'!G66</f>
        <v>-9301</v>
      </c>
      <c r="G95" s="39"/>
      <c r="H95" s="141"/>
      <c r="I95" s="39"/>
      <c r="J95" s="39">
        <f>+F95-D95</f>
        <v>-451</v>
      </c>
    </row>
    <row r="96" spans="1:10" hidden="1" x14ac:dyDescent="0.25">
      <c r="A96" s="70">
        <f t="shared" si="1"/>
        <v>20</v>
      </c>
      <c r="B96" t="s">
        <v>90</v>
      </c>
      <c r="C96"/>
      <c r="D96" s="42">
        <v>0</v>
      </c>
      <c r="E96" s="39"/>
      <c r="F96" s="39">
        <f>+'Sch 4'!G67</f>
        <v>0</v>
      </c>
      <c r="G96" s="39"/>
      <c r="H96" s="141"/>
      <c r="I96" s="39"/>
      <c r="J96" s="39">
        <f>+F96-D96</f>
        <v>0</v>
      </c>
    </row>
    <row r="97" spans="1:13" x14ac:dyDescent="0.25">
      <c r="A97" s="70">
        <v>20</v>
      </c>
      <c r="B97" t="s">
        <v>91</v>
      </c>
      <c r="C97"/>
      <c r="D97" s="42"/>
      <c r="E97" s="39"/>
      <c r="F97" s="39"/>
      <c r="G97" s="39"/>
      <c r="H97" s="141"/>
      <c r="I97" s="39"/>
      <c r="J97" s="39"/>
    </row>
    <row r="98" spans="1:13" x14ac:dyDescent="0.25">
      <c r="A98" s="70">
        <f t="shared" si="1"/>
        <v>21</v>
      </c>
      <c r="B98"/>
      <c r="C98" t="s">
        <v>92</v>
      </c>
      <c r="D98" s="42">
        <v>1018</v>
      </c>
      <c r="E98" s="39"/>
      <c r="F98" s="39">
        <f>'Sch 4'!G69</f>
        <v>211</v>
      </c>
      <c r="G98" s="39"/>
      <c r="H98" s="141"/>
      <c r="I98" s="39"/>
      <c r="J98" s="39">
        <f>+F98-D98</f>
        <v>-807</v>
      </c>
    </row>
    <row r="99" spans="1:13" x14ac:dyDescent="0.25">
      <c r="A99" s="70">
        <f t="shared" si="1"/>
        <v>22</v>
      </c>
      <c r="B99"/>
      <c r="C99" t="s">
        <v>93</v>
      </c>
      <c r="D99" s="42">
        <v>152</v>
      </c>
      <c r="E99" s="39"/>
      <c r="F99" s="39">
        <f>'Sch 4'!G70</f>
        <v>1028</v>
      </c>
      <c r="G99" s="39"/>
      <c r="H99" s="141"/>
      <c r="I99" s="39"/>
      <c r="J99" s="39">
        <f>+F99-D99</f>
        <v>876</v>
      </c>
    </row>
    <row r="100" spans="1:13" x14ac:dyDescent="0.25">
      <c r="A100" s="70">
        <f>+A99+1</f>
        <v>23</v>
      </c>
      <c r="B100" t="s">
        <v>94</v>
      </c>
      <c r="C100"/>
      <c r="D100" s="42">
        <v>-546</v>
      </c>
      <c r="E100" s="39"/>
      <c r="F100" s="39">
        <f>'Sch 4'!G74</f>
        <v>0</v>
      </c>
      <c r="G100" s="39"/>
      <c r="H100" s="141"/>
      <c r="I100" s="39"/>
      <c r="J100" s="39">
        <f>+F100-D100</f>
        <v>546</v>
      </c>
    </row>
    <row r="101" spans="1:13" x14ac:dyDescent="0.25">
      <c r="A101" s="70">
        <f t="shared" si="1"/>
        <v>24</v>
      </c>
      <c r="B101" t="s">
        <v>95</v>
      </c>
      <c r="C101"/>
      <c r="D101" s="42">
        <v>-2443</v>
      </c>
      <c r="F101" s="39">
        <f>'Sch 4'!G75</f>
        <v>0</v>
      </c>
      <c r="J101" s="39">
        <f>+F101-D101</f>
        <v>2443</v>
      </c>
    </row>
    <row r="102" spans="1:13" x14ac:dyDescent="0.25">
      <c r="A102" s="70">
        <f t="shared" si="1"/>
        <v>25</v>
      </c>
      <c r="B102"/>
      <c r="C102" t="s">
        <v>96</v>
      </c>
      <c r="D102" s="43">
        <f>SUM(D82:D101)</f>
        <v>19401</v>
      </c>
      <c r="F102" s="43">
        <f>SUM(F82:F101)</f>
        <v>17548</v>
      </c>
      <c r="J102" s="43">
        <f>SUM(J82:J101)</f>
        <v>-1853</v>
      </c>
      <c r="L102" s="8"/>
    </row>
    <row r="103" spans="1:13" x14ac:dyDescent="0.25">
      <c r="A103" s="70"/>
      <c r="B103"/>
      <c r="C103"/>
      <c r="D103"/>
      <c r="J103" s="39"/>
    </row>
    <row r="104" spans="1:13" ht="16.5" thickBot="1" x14ac:dyDescent="0.3">
      <c r="A104" s="70">
        <f>A102+1</f>
        <v>26</v>
      </c>
      <c r="B104" t="s">
        <v>97</v>
      </c>
      <c r="C104"/>
      <c r="D104" s="44">
        <f>+D79-D102+1</f>
        <v>-19103</v>
      </c>
      <c r="F104" s="44">
        <f>+F79-F102</f>
        <v>4413</v>
      </c>
      <c r="J104" s="44">
        <f>+J79-J102-1</f>
        <v>23516</v>
      </c>
      <c r="K104" s="8">
        <f>+J104-J17</f>
        <v>0</v>
      </c>
      <c r="M104" s="2" t="s">
        <v>98</v>
      </c>
    </row>
    <row r="105" spans="1:13" ht="16.5" thickTop="1" x14ac:dyDescent="0.25">
      <c r="A105" s="70"/>
      <c r="H105" s="160"/>
      <c r="J105" s="39"/>
    </row>
    <row r="106" spans="1:13" x14ac:dyDescent="0.25">
      <c r="A106" s="70"/>
      <c r="J106" s="6"/>
    </row>
    <row r="107" spans="1:13" x14ac:dyDescent="0.25">
      <c r="A107" s="70"/>
      <c r="F107" s="71">
        <f>+F104-'Sch 4'!G78</f>
        <v>0</v>
      </c>
      <c r="H107" s="72" t="s">
        <v>99</v>
      </c>
    </row>
  </sheetData>
  <mergeCells count="14">
    <mergeCell ref="K22:P24"/>
    <mergeCell ref="K53:P56"/>
    <mergeCell ref="A4:J4"/>
    <mergeCell ref="A5:J5"/>
    <mergeCell ref="D25:F25"/>
    <mergeCell ref="A35:J35"/>
    <mergeCell ref="A36:J36"/>
    <mergeCell ref="A67:J67"/>
    <mergeCell ref="A69:J69"/>
    <mergeCell ref="A70:J70"/>
    <mergeCell ref="A38:J38"/>
    <mergeCell ref="A7:J7"/>
    <mergeCell ref="A8:J8"/>
    <mergeCell ref="A66:J66"/>
  </mergeCells>
  <phoneticPr fontId="7" type="noConversion"/>
  <printOptions horizontalCentered="1"/>
  <pageMargins left="0.5" right="0.5" top="0.5" bottom="0.75" header="0.5" footer="0.5"/>
  <pageSetup scale="92" fitToHeight="3" orientation="portrait" verticalDpi="300" r:id="rId1"/>
  <headerFooter alignWithMargins="0"/>
  <rowBreaks count="2" manualBreakCount="2">
    <brk id="31" max="9" man="1"/>
    <brk id="62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39"/>
  </sheetPr>
  <dimension ref="A1:L134"/>
  <sheetViews>
    <sheetView view="pageBreakPreview" topLeftCell="A13" zoomScale="115" zoomScaleNormal="100" zoomScaleSheetLayoutView="115" workbookViewId="0">
      <selection activeCell="E58" sqref="E58"/>
    </sheetView>
  </sheetViews>
  <sheetFormatPr defaultColWidth="9" defaultRowHeight="15.75" x14ac:dyDescent="0.25"/>
  <cols>
    <col min="1" max="1" width="3" style="2" customWidth="1"/>
    <col min="2" max="2" width="2.5" style="2" customWidth="1"/>
    <col min="3" max="3" width="35.875" style="2" customWidth="1"/>
    <col min="4" max="4" width="1.625" style="2" customWidth="1"/>
    <col min="5" max="5" width="12.625" style="2" customWidth="1"/>
    <col min="6" max="6" width="1.625" style="2" customWidth="1"/>
    <col min="7" max="7" width="12.625" style="2" customWidth="1"/>
    <col min="8" max="8" width="1.625" style="2" customWidth="1"/>
    <col min="9" max="9" width="12.625" style="2" customWidth="1"/>
    <col min="10" max="16384" width="9" style="2"/>
  </cols>
  <sheetData>
    <row r="1" spans="1:12" x14ac:dyDescent="0.25">
      <c r="I1" s="12" t="str">
        <f>+'Sch 1'!$J$1</f>
        <v>OUCC</v>
      </c>
      <c r="J1" s="74"/>
      <c r="K1"/>
    </row>
    <row r="2" spans="1:12" x14ac:dyDescent="0.25">
      <c r="I2" s="12" t="s">
        <v>100</v>
      </c>
      <c r="J2" s="74"/>
      <c r="K2" s="74"/>
    </row>
    <row r="3" spans="1:12" x14ac:dyDescent="0.25">
      <c r="I3" s="12" t="s">
        <v>101</v>
      </c>
      <c r="J3" s="74"/>
      <c r="K3" s="73"/>
    </row>
    <row r="4" spans="1:12" s="37" customFormat="1" ht="20.25" x14ac:dyDescent="0.3">
      <c r="A4" s="211" t="str">
        <f>+Inputs!$C$5</f>
        <v>Pleasantview Wastewater</v>
      </c>
      <c r="B4" s="211"/>
      <c r="C4" s="211"/>
      <c r="D4" s="211"/>
      <c r="E4" s="211"/>
      <c r="F4" s="211"/>
      <c r="G4" s="211"/>
      <c r="H4" s="211"/>
      <c r="I4" s="211"/>
      <c r="J4" s="75"/>
      <c r="K4" s="73"/>
    </row>
    <row r="5" spans="1:12" s="37" customFormat="1" ht="18.75" x14ac:dyDescent="0.3">
      <c r="A5" s="207" t="str">
        <f>"CAUSE NUMBER "&amp;+Inputs!$C$6</f>
        <v>CAUSE NUMBER 46122-U</v>
      </c>
      <c r="B5" s="207"/>
      <c r="C5" s="207"/>
      <c r="D5" s="207"/>
      <c r="E5" s="207"/>
      <c r="F5" s="207"/>
      <c r="G5" s="207"/>
      <c r="H5" s="207"/>
      <c r="I5" s="207"/>
      <c r="J5" s="75"/>
      <c r="K5" s="73"/>
    </row>
    <row r="6" spans="1:12" x14ac:dyDescent="0.25">
      <c r="J6" s="74"/>
      <c r="K6" s="73"/>
    </row>
    <row r="7" spans="1:12" x14ac:dyDescent="0.25">
      <c r="A7" s="209" t="s">
        <v>102</v>
      </c>
      <c r="B7" s="209"/>
      <c r="C7" s="209"/>
      <c r="D7" s="209"/>
      <c r="E7" s="209"/>
      <c r="F7" s="209"/>
      <c r="G7" s="209"/>
      <c r="H7" s="209"/>
      <c r="I7" s="209"/>
      <c r="J7" s="74"/>
      <c r="K7" s="73"/>
    </row>
    <row r="8" spans="1:12" x14ac:dyDescent="0.25">
      <c r="A8" s="209" t="str">
        <f>"As of "&amp;Inputs!C8&amp;","</f>
        <v>As of December 31,</v>
      </c>
      <c r="B8" s="209"/>
      <c r="C8" s="209"/>
      <c r="D8" s="209"/>
      <c r="E8" s="209"/>
      <c r="F8" s="209"/>
      <c r="G8" s="209"/>
      <c r="H8" s="209"/>
      <c r="I8" s="209"/>
      <c r="J8" s="74"/>
      <c r="L8" s="74"/>
    </row>
    <row r="9" spans="1:12" x14ac:dyDescent="0.25">
      <c r="J9" s="74"/>
    </row>
    <row r="10" spans="1:12" x14ac:dyDescent="0.25">
      <c r="A10" s="215" t="s">
        <v>103</v>
      </c>
      <c r="B10" s="213"/>
      <c r="C10" s="213"/>
      <c r="E10" s="5">
        <f>IF(Inputs!$E$8="year","YEAR 1",+Inputs!E8)</f>
        <v>2023</v>
      </c>
      <c r="G10" s="5">
        <f>IF(Inputs!$E$8="year","YEAR 2",+E10-1)</f>
        <v>2022</v>
      </c>
      <c r="H10" s="188"/>
      <c r="I10" s="5">
        <f>IF(Inputs!$E$8="year","YEAR 3",+E10-2)</f>
        <v>2021</v>
      </c>
      <c r="J10" s="74"/>
    </row>
    <row r="11" spans="1:12" ht="6" customHeight="1" x14ac:dyDescent="0.25">
      <c r="J11" s="74"/>
    </row>
    <row r="12" spans="1:12" x14ac:dyDescent="0.25">
      <c r="A12" s="2" t="s">
        <v>104</v>
      </c>
      <c r="J12" s="74"/>
      <c r="K12" s="73"/>
    </row>
    <row r="13" spans="1:12" x14ac:dyDescent="0.25">
      <c r="B13" s="2" t="s">
        <v>105</v>
      </c>
      <c r="E13" s="38">
        <f>321144-E17</f>
        <v>71857</v>
      </c>
      <c r="G13" s="38">
        <v>59387</v>
      </c>
      <c r="H13" s="38"/>
      <c r="I13" s="38">
        <v>59387</v>
      </c>
      <c r="J13" s="74"/>
    </row>
    <row r="14" spans="1:12" x14ac:dyDescent="0.25">
      <c r="B14" s="2" t="s">
        <v>106</v>
      </c>
      <c r="E14" s="39">
        <f>-244862-E20</f>
        <v>-43553</v>
      </c>
      <c r="F14" s="39"/>
      <c r="G14" s="39">
        <v>-36516</v>
      </c>
      <c r="H14" s="39"/>
      <c r="I14" s="39">
        <v>-29842</v>
      </c>
      <c r="J14" s="74"/>
    </row>
    <row r="15" spans="1:12" x14ac:dyDescent="0.25">
      <c r="C15" s="2" t="s">
        <v>107</v>
      </c>
      <c r="E15" s="43">
        <f>+E13+E14</f>
        <v>28304</v>
      </c>
      <c r="F15" s="39"/>
      <c r="G15" s="43">
        <f>+G13+G14</f>
        <v>22871</v>
      </c>
      <c r="H15" s="39"/>
      <c r="I15" s="43">
        <f>+I13+I14</f>
        <v>29545</v>
      </c>
      <c r="J15" s="74"/>
    </row>
    <row r="16" spans="1:12" x14ac:dyDescent="0.25">
      <c r="E16" s="39"/>
      <c r="F16" s="39"/>
      <c r="G16" s="39"/>
      <c r="H16" s="39"/>
      <c r="I16" s="39"/>
      <c r="J16" s="74"/>
    </row>
    <row r="17" spans="1:10" x14ac:dyDescent="0.25">
      <c r="B17" s="2" t="s">
        <v>108</v>
      </c>
      <c r="E17" s="39">
        <v>249287</v>
      </c>
      <c r="F17" s="39"/>
      <c r="G17" s="39">
        <v>249287</v>
      </c>
      <c r="H17" s="39"/>
      <c r="I17" s="39">
        <v>249287</v>
      </c>
      <c r="J17" s="74"/>
    </row>
    <row r="18" spans="1:10" hidden="1" x14ac:dyDescent="0.25">
      <c r="B18" s="2" t="s">
        <v>109</v>
      </c>
      <c r="E18" s="39"/>
      <c r="F18" s="39"/>
      <c r="G18" s="39"/>
      <c r="H18" s="39"/>
      <c r="I18" s="39"/>
      <c r="J18" s="74"/>
    </row>
    <row r="19" spans="1:10" hidden="1" x14ac:dyDescent="0.25">
      <c r="B19" s="2" t="s">
        <v>110</v>
      </c>
      <c r="E19" s="39"/>
      <c r="F19" s="39"/>
      <c r="G19" s="39"/>
      <c r="H19" s="39"/>
      <c r="I19" s="39"/>
      <c r="J19" s="74"/>
    </row>
    <row r="20" spans="1:10" x14ac:dyDescent="0.25">
      <c r="B20" s="2" t="s">
        <v>111</v>
      </c>
      <c r="E20" s="39">
        <v>-201309</v>
      </c>
      <c r="F20" s="39"/>
      <c r="G20" s="39">
        <v>-186227</v>
      </c>
      <c r="H20" s="39"/>
      <c r="I20" s="39">
        <v>-169920</v>
      </c>
      <c r="J20" s="74"/>
    </row>
    <row r="21" spans="1:10" hidden="1" x14ac:dyDescent="0.25">
      <c r="B21" s="2" t="s">
        <v>112</v>
      </c>
      <c r="E21" s="39"/>
      <c r="F21" s="39"/>
      <c r="G21" s="39"/>
      <c r="H21" s="39"/>
      <c r="I21" s="39"/>
      <c r="J21" s="74"/>
    </row>
    <row r="22" spans="1:10" x14ac:dyDescent="0.25">
      <c r="C22" s="2" t="s">
        <v>113</v>
      </c>
      <c r="E22" s="43">
        <f>+E17+E20</f>
        <v>47978</v>
      </c>
      <c r="F22" s="39"/>
      <c r="G22" s="43">
        <f>+G17+G20</f>
        <v>63060</v>
      </c>
      <c r="H22" s="39"/>
      <c r="I22" s="43">
        <f>+I17+I20</f>
        <v>79367</v>
      </c>
      <c r="J22" s="74"/>
    </row>
    <row r="23" spans="1:10" x14ac:dyDescent="0.25">
      <c r="E23" s="39"/>
      <c r="F23" s="39"/>
      <c r="G23" s="39"/>
      <c r="H23" s="39"/>
      <c r="I23" s="39"/>
      <c r="J23" s="74"/>
    </row>
    <row r="24" spans="1:10" hidden="1" x14ac:dyDescent="0.25">
      <c r="B24" s="2" t="s">
        <v>114</v>
      </c>
      <c r="C24" s="2" t="s">
        <v>114</v>
      </c>
      <c r="E24" s="61">
        <f>SUM(E13:E21)</f>
        <v>104586</v>
      </c>
      <c r="G24" s="61">
        <f>SUM(G13:G21)</f>
        <v>108802</v>
      </c>
      <c r="H24" s="61"/>
      <c r="I24" s="61">
        <f>SUM(I13:I21)</f>
        <v>138457</v>
      </c>
      <c r="J24" s="74"/>
    </row>
    <row r="25" spans="1:10" hidden="1" x14ac:dyDescent="0.25">
      <c r="B25" s="2" t="s">
        <v>115</v>
      </c>
      <c r="E25" s="61"/>
      <c r="G25" s="61"/>
      <c r="H25" s="39"/>
      <c r="I25" s="61"/>
      <c r="J25" s="74"/>
    </row>
    <row r="26" spans="1:10" hidden="1" x14ac:dyDescent="0.25">
      <c r="B26" s="2" t="s">
        <v>116</v>
      </c>
      <c r="E26" s="61"/>
      <c r="G26" s="61"/>
      <c r="H26" s="39"/>
      <c r="I26" s="61"/>
      <c r="J26" s="74"/>
    </row>
    <row r="27" spans="1:10" ht="16.5" thickBot="1" x14ac:dyDescent="0.3">
      <c r="C27" s="2" t="s">
        <v>117</v>
      </c>
      <c r="E27" s="144">
        <f>+E15+E22</f>
        <v>76282</v>
      </c>
      <c r="G27" s="144">
        <f>+G15+G22</f>
        <v>85931</v>
      </c>
      <c r="H27" s="61"/>
      <c r="I27" s="144">
        <f>+I15+I22</f>
        <v>108912</v>
      </c>
      <c r="J27" s="74"/>
    </row>
    <row r="28" spans="1:10" ht="16.5" thickTop="1" x14ac:dyDescent="0.25">
      <c r="E28" s="61"/>
      <c r="G28" s="61"/>
      <c r="H28" s="39"/>
      <c r="I28" s="61"/>
      <c r="J28" s="74"/>
    </row>
    <row r="29" spans="1:10" hidden="1" x14ac:dyDescent="0.25">
      <c r="A29" s="2" t="s">
        <v>118</v>
      </c>
      <c r="E29" s="39"/>
      <c r="G29" s="39"/>
      <c r="H29" s="39"/>
      <c r="I29" s="39"/>
      <c r="J29" s="74"/>
    </row>
    <row r="30" spans="1:10" hidden="1" x14ac:dyDescent="0.25">
      <c r="A30" s="2" t="s">
        <v>119</v>
      </c>
      <c r="E30" s="39"/>
      <c r="G30" s="39"/>
      <c r="H30" s="39"/>
      <c r="I30" s="39"/>
      <c r="J30" s="74"/>
    </row>
    <row r="31" spans="1:10" hidden="1" x14ac:dyDescent="0.25">
      <c r="B31" s="2" t="s">
        <v>120</v>
      </c>
      <c r="E31" s="43">
        <f>+E29+E30</f>
        <v>0</v>
      </c>
      <c r="G31" s="43">
        <f>+G29+G30</f>
        <v>0</v>
      </c>
      <c r="H31" s="39"/>
      <c r="I31" s="43">
        <f>+I29+I30</f>
        <v>0</v>
      </c>
    </row>
    <row r="32" spans="1:10" hidden="1" x14ac:dyDescent="0.25">
      <c r="E32" s="39"/>
      <c r="G32" s="39"/>
      <c r="H32" s="39"/>
      <c r="I32" s="39"/>
    </row>
    <row r="33" spans="1:10" x14ac:dyDescent="0.25">
      <c r="A33" s="2" t="s">
        <v>121</v>
      </c>
      <c r="E33" s="39"/>
      <c r="G33" s="39"/>
      <c r="H33" s="39"/>
      <c r="I33" s="39"/>
    </row>
    <row r="34" spans="1:10" x14ac:dyDescent="0.25">
      <c r="B34" s="2" t="s">
        <v>122</v>
      </c>
      <c r="E34" s="39">
        <v>1813</v>
      </c>
      <c r="G34" s="39">
        <v>1572</v>
      </c>
      <c r="H34" s="39"/>
      <c r="I34" s="39">
        <v>750</v>
      </c>
    </row>
    <row r="35" spans="1:10" hidden="1" x14ac:dyDescent="0.25">
      <c r="B35" s="2" t="s">
        <v>123</v>
      </c>
      <c r="E35" s="39"/>
      <c r="G35" s="39"/>
      <c r="H35" s="39"/>
      <c r="I35" s="39"/>
      <c r="J35" s="74"/>
    </row>
    <row r="36" spans="1:10" hidden="1" x14ac:dyDescent="0.25">
      <c r="B36" s="2" t="s">
        <v>124</v>
      </c>
      <c r="E36" s="39"/>
      <c r="G36" s="39"/>
      <c r="H36" s="39"/>
      <c r="I36" s="39"/>
      <c r="J36" s="74"/>
    </row>
    <row r="37" spans="1:10" hidden="1" x14ac:dyDescent="0.25">
      <c r="B37" s="2" t="s">
        <v>125</v>
      </c>
      <c r="G37" s="39"/>
      <c r="H37" s="39"/>
      <c r="I37" s="39"/>
      <c r="J37" s="74"/>
    </row>
    <row r="38" spans="1:10" hidden="1" x14ac:dyDescent="0.25">
      <c r="B38" s="2" t="s">
        <v>126</v>
      </c>
      <c r="G38" s="39"/>
      <c r="H38" s="39"/>
      <c r="I38" s="39"/>
    </row>
    <row r="39" spans="1:10" hidden="1" x14ac:dyDescent="0.25">
      <c r="B39" s="2" t="s">
        <v>127</v>
      </c>
      <c r="G39" s="39"/>
      <c r="H39" s="39"/>
      <c r="I39" s="39"/>
    </row>
    <row r="40" spans="1:10" hidden="1" x14ac:dyDescent="0.25">
      <c r="B40" s="2" t="s">
        <v>128</v>
      </c>
      <c r="G40" s="39"/>
      <c r="H40" s="39"/>
      <c r="I40" s="39"/>
      <c r="J40" s="74"/>
    </row>
    <row r="41" spans="1:10" hidden="1" x14ac:dyDescent="0.25">
      <c r="B41" s="2" t="s">
        <v>129</v>
      </c>
      <c r="G41" s="39"/>
      <c r="H41" s="39"/>
      <c r="I41" s="39"/>
      <c r="J41" s="76"/>
    </row>
    <row r="42" spans="1:10" hidden="1" x14ac:dyDescent="0.25">
      <c r="B42" s="2" t="s">
        <v>130</v>
      </c>
      <c r="G42" s="39"/>
      <c r="H42" s="39"/>
      <c r="I42" s="39"/>
      <c r="J42" s="74"/>
    </row>
    <row r="43" spans="1:10" x14ac:dyDescent="0.25">
      <c r="B43" s="2" t="s">
        <v>131</v>
      </c>
      <c r="E43" s="2">
        <v>150</v>
      </c>
      <c r="G43" s="39">
        <v>0</v>
      </c>
      <c r="H43" s="39"/>
      <c r="I43" s="39">
        <v>0</v>
      </c>
      <c r="J43" s="74"/>
    </row>
    <row r="44" spans="1:10" hidden="1" x14ac:dyDescent="0.25">
      <c r="B44" s="2" t="s">
        <v>132</v>
      </c>
      <c r="G44" s="39"/>
      <c r="H44" s="39"/>
      <c r="I44" s="39"/>
      <c r="J44" s="74"/>
    </row>
    <row r="45" spans="1:10" hidden="1" x14ac:dyDescent="0.25">
      <c r="B45" s="2" t="s">
        <v>133</v>
      </c>
      <c r="G45" s="39"/>
      <c r="H45" s="39"/>
      <c r="I45" s="39"/>
      <c r="J45" s="74"/>
    </row>
    <row r="46" spans="1:10" hidden="1" x14ac:dyDescent="0.25">
      <c r="B46" s="2" t="s">
        <v>134</v>
      </c>
      <c r="G46" s="39"/>
      <c r="H46" s="39"/>
      <c r="I46" s="39"/>
      <c r="J46" s="74"/>
    </row>
    <row r="47" spans="1:10" hidden="1" x14ac:dyDescent="0.25">
      <c r="B47" s="2" t="s">
        <v>135</v>
      </c>
      <c r="G47" s="39"/>
      <c r="H47" s="39"/>
      <c r="I47" s="39"/>
      <c r="J47" s="74"/>
    </row>
    <row r="48" spans="1:10" x14ac:dyDescent="0.25">
      <c r="C48" s="2" t="s">
        <v>136</v>
      </c>
      <c r="E48" s="103">
        <f>SUM(E34:E47)</f>
        <v>1963</v>
      </c>
      <c r="G48" s="103">
        <f>SUM(G34:G47)</f>
        <v>1572</v>
      </c>
      <c r="H48" s="39"/>
      <c r="I48" s="103">
        <f>SUM(I34:I47)</f>
        <v>750</v>
      </c>
      <c r="J48" s="74"/>
    </row>
    <row r="49" spans="1:10" x14ac:dyDescent="0.25">
      <c r="G49" s="39"/>
      <c r="H49" s="39"/>
      <c r="I49" s="39"/>
      <c r="J49" s="74"/>
    </row>
    <row r="50" spans="1:10" hidden="1" x14ac:dyDescent="0.25">
      <c r="A50" s="2" t="s">
        <v>137</v>
      </c>
      <c r="E50" s="39"/>
      <c r="F50" s="39"/>
      <c r="G50" s="39"/>
      <c r="H50" s="39"/>
      <c r="I50" s="39"/>
      <c r="J50" s="74"/>
    </row>
    <row r="51" spans="1:10" hidden="1" x14ac:dyDescent="0.25">
      <c r="B51" s="2" t="s">
        <v>138</v>
      </c>
      <c r="E51" s="39"/>
      <c r="F51" s="39"/>
      <c r="G51" s="39"/>
      <c r="H51" s="39"/>
      <c r="I51" s="39"/>
      <c r="J51" s="74"/>
    </row>
    <row r="52" spans="1:10" hidden="1" x14ac:dyDescent="0.25">
      <c r="B52" s="2" t="s">
        <v>139</v>
      </c>
      <c r="E52" s="39"/>
      <c r="F52" s="39"/>
      <c r="G52" s="39"/>
      <c r="H52" s="39"/>
      <c r="I52" s="39"/>
      <c r="J52" s="76"/>
    </row>
    <row r="53" spans="1:10" hidden="1" x14ac:dyDescent="0.25">
      <c r="B53" s="2" t="s">
        <v>140</v>
      </c>
      <c r="E53" s="39"/>
      <c r="F53" s="39"/>
      <c r="G53" s="39"/>
      <c r="H53" s="39"/>
      <c r="I53" s="39"/>
      <c r="J53" s="76"/>
    </row>
    <row r="54" spans="1:10" hidden="1" x14ac:dyDescent="0.25">
      <c r="B54" s="2" t="s">
        <v>141</v>
      </c>
      <c r="E54" s="39"/>
      <c r="F54" s="39"/>
      <c r="G54" s="39"/>
      <c r="H54" s="39"/>
      <c r="I54" s="39"/>
      <c r="J54" s="74"/>
    </row>
    <row r="55" spans="1:10" hidden="1" x14ac:dyDescent="0.25">
      <c r="C55" s="2" t="s">
        <v>142</v>
      </c>
      <c r="E55" s="43">
        <f>SUM(E51:E54)</f>
        <v>0</v>
      </c>
      <c r="F55" s="39"/>
      <c r="G55" s="43">
        <f>SUM(G51:G54)</f>
        <v>0</v>
      </c>
      <c r="H55" s="39"/>
      <c r="I55" s="43">
        <f>SUM(I51:I54)</f>
        <v>0</v>
      </c>
      <c r="J55" s="74"/>
    </row>
    <row r="56" spans="1:10" hidden="1" x14ac:dyDescent="0.25">
      <c r="E56" s="39"/>
      <c r="F56" s="39"/>
      <c r="G56" s="39"/>
      <c r="H56" s="39"/>
      <c r="I56" s="39"/>
    </row>
    <row r="57" spans="1:10" ht="16.5" thickBot="1" x14ac:dyDescent="0.3">
      <c r="C57" s="2" t="s">
        <v>143</v>
      </c>
      <c r="E57" s="104">
        <f>+E55+E48+E31+E27</f>
        <v>78245</v>
      </c>
      <c r="G57" s="104">
        <f t="shared" ref="G57" si="0">+G55+G48+G31+G27</f>
        <v>87503</v>
      </c>
      <c r="I57" s="104">
        <f t="shared" ref="I57" si="1">+I55+I48+I31+I27</f>
        <v>109662</v>
      </c>
    </row>
    <row r="58" spans="1:10" ht="16.5" thickTop="1" x14ac:dyDescent="0.25">
      <c r="E58" s="105"/>
      <c r="G58" s="105"/>
      <c r="I58" s="105"/>
    </row>
    <row r="59" spans="1:10" hidden="1" x14ac:dyDescent="0.25">
      <c r="I59" s="12" t="str">
        <f>+'Sch 1'!$J$1</f>
        <v>OUCC</v>
      </c>
    </row>
    <row r="60" spans="1:10" hidden="1" x14ac:dyDescent="0.25">
      <c r="I60" s="12" t="s">
        <v>100</v>
      </c>
    </row>
    <row r="61" spans="1:10" hidden="1" x14ac:dyDescent="0.25">
      <c r="I61" s="12" t="s">
        <v>144</v>
      </c>
    </row>
    <row r="62" spans="1:10" ht="20.25" hidden="1" x14ac:dyDescent="0.3">
      <c r="A62" s="211" t="str">
        <f>+Inputs!$C$5</f>
        <v>Pleasantview Wastewater</v>
      </c>
      <c r="B62" s="211"/>
      <c r="C62" s="211"/>
      <c r="D62" s="211"/>
      <c r="E62" s="211"/>
      <c r="F62" s="211"/>
      <c r="G62" s="211"/>
      <c r="H62" s="211"/>
      <c r="I62" s="211"/>
    </row>
    <row r="63" spans="1:10" ht="18.75" hidden="1" x14ac:dyDescent="0.3">
      <c r="A63" s="207" t="str">
        <f>"CAUSE NUMBER "&amp;+Inputs!$C$6</f>
        <v>CAUSE NUMBER 46122-U</v>
      </c>
      <c r="B63" s="207"/>
      <c r="C63" s="207"/>
      <c r="D63" s="207"/>
      <c r="E63" s="207"/>
      <c r="F63" s="207"/>
      <c r="G63" s="207"/>
      <c r="H63" s="207"/>
      <c r="I63" s="207"/>
    </row>
    <row r="64" spans="1:10" hidden="1" x14ac:dyDescent="0.25"/>
    <row r="65" spans="1:10" hidden="1" x14ac:dyDescent="0.25">
      <c r="A65" s="209" t="s">
        <v>102</v>
      </c>
      <c r="B65" s="209"/>
      <c r="C65" s="209"/>
      <c r="D65" s="209"/>
      <c r="E65" s="209"/>
      <c r="F65" s="209"/>
      <c r="G65" s="209"/>
      <c r="H65" s="209"/>
      <c r="I65" s="209"/>
    </row>
    <row r="66" spans="1:10" hidden="1" x14ac:dyDescent="0.25">
      <c r="A66" s="209" t="str">
        <f>"As of "&amp;Inputs!C8&amp;","</f>
        <v>As of December 31,</v>
      </c>
      <c r="B66" s="209"/>
      <c r="C66" s="209"/>
      <c r="D66" s="209"/>
      <c r="E66" s="209"/>
      <c r="F66" s="209"/>
      <c r="G66" s="209"/>
      <c r="H66" s="209"/>
      <c r="I66" s="209"/>
    </row>
    <row r="68" spans="1:10" x14ac:dyDescent="0.25">
      <c r="A68" s="14" t="s">
        <v>145</v>
      </c>
      <c r="B68" s="13"/>
      <c r="C68" s="13"/>
      <c r="E68" s="5">
        <f>+E10</f>
        <v>2023</v>
      </c>
      <c r="G68" s="5">
        <f>+G10</f>
        <v>2022</v>
      </c>
      <c r="H68" s="188"/>
      <c r="I68" s="5">
        <f>+I10</f>
        <v>2021</v>
      </c>
    </row>
    <row r="69" spans="1:10" x14ac:dyDescent="0.25">
      <c r="A69" s="2" t="s">
        <v>146</v>
      </c>
    </row>
    <row r="70" spans="1:10" x14ac:dyDescent="0.25">
      <c r="B70" s="2" t="s">
        <v>147</v>
      </c>
      <c r="E70" s="38">
        <v>95566</v>
      </c>
      <c r="F70" s="38"/>
      <c r="G70" s="38">
        <v>95566</v>
      </c>
      <c r="H70" s="38"/>
      <c r="I70" s="38">
        <v>95566</v>
      </c>
      <c r="J70" s="74"/>
    </row>
    <row r="71" spans="1:10" hidden="1" x14ac:dyDescent="0.25">
      <c r="B71" s="2" t="s">
        <v>148</v>
      </c>
      <c r="E71" s="39"/>
      <c r="F71" s="39"/>
      <c r="G71" s="39"/>
      <c r="H71" s="39"/>
      <c r="I71" s="39"/>
      <c r="J71" s="74"/>
    </row>
    <row r="72" spans="1:10" hidden="1" x14ac:dyDescent="0.25">
      <c r="B72" s="2" t="s">
        <v>149</v>
      </c>
      <c r="E72" s="39"/>
      <c r="F72" s="39"/>
      <c r="G72" s="39"/>
      <c r="H72" s="39"/>
      <c r="I72" s="39"/>
      <c r="J72" s="74"/>
    </row>
    <row r="73" spans="1:10" x14ac:dyDescent="0.25">
      <c r="B73" s="2" t="s">
        <v>150</v>
      </c>
      <c r="E73" s="39">
        <v>-77868</v>
      </c>
      <c r="F73" s="39"/>
      <c r="G73" s="39">
        <v>-47174</v>
      </c>
      <c r="H73" s="39"/>
      <c r="I73" s="39">
        <v>-28900</v>
      </c>
      <c r="J73" s="74"/>
    </row>
    <row r="74" spans="1:10" x14ac:dyDescent="0.25">
      <c r="C74" s="2" t="s">
        <v>151</v>
      </c>
      <c r="E74" s="43">
        <f>SUM(E70:E73)</f>
        <v>17698</v>
      </c>
      <c r="F74" s="39"/>
      <c r="G74" s="43">
        <f>SUM(G70:G73)</f>
        <v>48392</v>
      </c>
      <c r="H74" s="39"/>
      <c r="I74" s="43">
        <f>SUM(I70:I73)</f>
        <v>66666</v>
      </c>
    </row>
    <row r="75" spans="1:10" x14ac:dyDescent="0.25">
      <c r="E75" s="39"/>
      <c r="F75" s="39"/>
      <c r="G75" s="39"/>
      <c r="H75" s="39"/>
      <c r="I75" s="39"/>
    </row>
    <row r="76" spans="1:10" hidden="1" x14ac:dyDescent="0.25">
      <c r="A76" s="2" t="s">
        <v>152</v>
      </c>
      <c r="E76" s="39"/>
      <c r="F76" s="39"/>
      <c r="G76" s="39"/>
      <c r="H76" s="39"/>
      <c r="I76" s="39"/>
      <c r="J76" s="74"/>
    </row>
    <row r="77" spans="1:10" hidden="1" x14ac:dyDescent="0.25">
      <c r="B77" s="2" t="s">
        <v>152</v>
      </c>
      <c r="E77" s="39"/>
      <c r="F77" s="39"/>
      <c r="G77" s="39"/>
      <c r="H77" s="39"/>
      <c r="I77" s="39"/>
      <c r="J77" s="74"/>
    </row>
    <row r="78" spans="1:10" hidden="1" x14ac:dyDescent="0.25">
      <c r="B78" s="2" t="s">
        <v>153</v>
      </c>
      <c r="E78" s="39"/>
      <c r="F78" s="39"/>
      <c r="G78" s="39"/>
      <c r="H78" s="39"/>
      <c r="I78" s="39"/>
      <c r="J78" s="74"/>
    </row>
    <row r="79" spans="1:10" hidden="1" x14ac:dyDescent="0.25">
      <c r="C79" s="2" t="s">
        <v>154</v>
      </c>
      <c r="E79" s="43">
        <f>SUM(E77:E78)</f>
        <v>0</v>
      </c>
      <c r="F79" s="39"/>
      <c r="G79" s="43">
        <f>SUM(G77:G78)</f>
        <v>0</v>
      </c>
      <c r="H79" s="39"/>
      <c r="I79" s="43">
        <f>SUM(I77:I78)</f>
        <v>0</v>
      </c>
    </row>
    <row r="80" spans="1:10" hidden="1" x14ac:dyDescent="0.25">
      <c r="E80" s="61"/>
      <c r="F80" s="39"/>
      <c r="G80" s="61"/>
      <c r="H80" s="39"/>
      <c r="I80" s="61"/>
    </row>
    <row r="81" spans="1:11" x14ac:dyDescent="0.25">
      <c r="A81" s="2" t="s">
        <v>155</v>
      </c>
      <c r="E81" s="39"/>
      <c r="F81" s="39"/>
      <c r="G81" s="39"/>
      <c r="H81" s="39"/>
      <c r="I81" s="39"/>
    </row>
    <row r="82" spans="1:11" hidden="1" x14ac:dyDescent="0.25">
      <c r="B82" s="2" t="s">
        <v>156</v>
      </c>
      <c r="E82" s="39"/>
      <c r="F82" s="39"/>
      <c r="G82" s="39"/>
      <c r="H82" s="39"/>
      <c r="I82" s="39"/>
      <c r="J82" s="74"/>
      <c r="K82" s="74"/>
    </row>
    <row r="83" spans="1:11" hidden="1" x14ac:dyDescent="0.25">
      <c r="B83" s="2" t="s">
        <v>157</v>
      </c>
      <c r="E83" s="39"/>
      <c r="F83" s="39"/>
      <c r="G83" s="39"/>
      <c r="H83" s="39"/>
      <c r="I83" s="39"/>
      <c r="J83" s="74"/>
    </row>
    <row r="84" spans="1:11" x14ac:dyDescent="0.25">
      <c r="B84" s="2" t="s">
        <v>158</v>
      </c>
      <c r="E84" s="39">
        <v>15000</v>
      </c>
      <c r="F84" s="39"/>
      <c r="G84" s="39">
        <v>20341</v>
      </c>
      <c r="H84" s="39"/>
      <c r="I84" s="39">
        <v>37741</v>
      </c>
      <c r="J84" s="74"/>
    </row>
    <row r="85" spans="1:11" x14ac:dyDescent="0.25">
      <c r="B85" s="2" t="s">
        <v>159</v>
      </c>
      <c r="E85" s="39">
        <v>29849</v>
      </c>
      <c r="F85" s="39"/>
      <c r="G85" s="39">
        <v>14749</v>
      </c>
      <c r="H85" s="39"/>
      <c r="I85" s="39">
        <v>0</v>
      </c>
      <c r="J85" s="74"/>
    </row>
    <row r="86" spans="1:11" x14ac:dyDescent="0.25">
      <c r="B86" s="2" t="s">
        <v>160</v>
      </c>
      <c r="E86" s="39">
        <v>11801</v>
      </c>
      <c r="F86" s="39"/>
      <c r="G86" s="39">
        <v>0</v>
      </c>
      <c r="H86" s="39"/>
      <c r="I86" s="39">
        <v>0</v>
      </c>
      <c r="J86" s="74"/>
    </row>
    <row r="87" spans="1:11" x14ac:dyDescent="0.25">
      <c r="C87" s="2" t="s">
        <v>161</v>
      </c>
      <c r="E87" s="43">
        <f>SUM(E82:E86)</f>
        <v>56650</v>
      </c>
      <c r="F87" s="39"/>
      <c r="G87" s="43">
        <f>SUM(G82:G86)</f>
        <v>35090</v>
      </c>
      <c r="H87" s="39"/>
      <c r="I87" s="43">
        <f>SUM(I82:I86)</f>
        <v>37741</v>
      </c>
      <c r="J87" s="74"/>
    </row>
    <row r="88" spans="1:11" x14ac:dyDescent="0.25">
      <c r="E88" s="39"/>
      <c r="F88" s="39"/>
      <c r="G88" s="39"/>
      <c r="H88" s="39"/>
      <c r="I88" s="39"/>
      <c r="J88" s="74"/>
    </row>
    <row r="89" spans="1:11" x14ac:dyDescent="0.25">
      <c r="A89" s="2" t="s">
        <v>162</v>
      </c>
      <c r="E89" s="39"/>
      <c r="F89" s="39"/>
      <c r="G89" s="39"/>
      <c r="H89" s="39"/>
      <c r="I89" s="39"/>
    </row>
    <row r="90" spans="1:11" hidden="1" x14ac:dyDescent="0.25">
      <c r="B90" s="2" t="s">
        <v>163</v>
      </c>
      <c r="E90" s="39"/>
      <c r="F90" s="39"/>
      <c r="G90" s="39"/>
      <c r="H90" s="39"/>
      <c r="I90" s="39"/>
    </row>
    <row r="91" spans="1:11" x14ac:dyDescent="0.25">
      <c r="B91" s="2" t="s">
        <v>164</v>
      </c>
      <c r="E91" s="39">
        <v>0</v>
      </c>
      <c r="F91" s="39"/>
      <c r="G91" s="39">
        <v>0</v>
      </c>
      <c r="H91" s="39"/>
      <c r="I91" s="39">
        <v>762</v>
      </c>
    </row>
    <row r="92" spans="1:11" hidden="1" x14ac:dyDescent="0.25">
      <c r="B92" s="2" t="s">
        <v>165</v>
      </c>
      <c r="E92" s="39"/>
      <c r="F92" s="39"/>
      <c r="G92" s="39"/>
      <c r="H92" s="39"/>
      <c r="I92" s="39"/>
      <c r="J92" s="74"/>
    </row>
    <row r="93" spans="1:11" x14ac:dyDescent="0.25">
      <c r="B93" s="2" t="s">
        <v>166</v>
      </c>
      <c r="E93" s="39">
        <v>1968</v>
      </c>
      <c r="F93" s="39"/>
      <c r="G93" s="39">
        <v>1983</v>
      </c>
      <c r="H93" s="39"/>
      <c r="I93" s="39">
        <v>2192</v>
      </c>
      <c r="J93" s="74"/>
    </row>
    <row r="94" spans="1:11" hidden="1" x14ac:dyDescent="0.25">
      <c r="B94" s="2" t="s">
        <v>133</v>
      </c>
      <c r="E94" s="39"/>
      <c r="F94" s="39"/>
      <c r="G94" s="39"/>
      <c r="H94" s="39"/>
      <c r="I94" s="39"/>
      <c r="J94" s="74"/>
    </row>
    <row r="95" spans="1:11" hidden="1" x14ac:dyDescent="0.25">
      <c r="B95" s="2" t="s">
        <v>167</v>
      </c>
      <c r="E95" s="39"/>
      <c r="F95" s="39"/>
      <c r="G95" s="39"/>
      <c r="H95" s="39"/>
      <c r="I95" s="39"/>
    </row>
    <row r="96" spans="1:11" x14ac:dyDescent="0.25">
      <c r="B96" s="2" t="s">
        <v>168</v>
      </c>
      <c r="E96" s="39">
        <v>1929</v>
      </c>
      <c r="F96" s="39"/>
      <c r="G96" s="39">
        <v>2038</v>
      </c>
      <c r="H96" s="39"/>
      <c r="I96" s="39">
        <v>2001</v>
      </c>
      <c r="J96" s="74"/>
    </row>
    <row r="97" spans="1:10" x14ac:dyDescent="0.25">
      <c r="B97" s="2" t="s">
        <v>169</v>
      </c>
      <c r="E97" s="39">
        <v>0</v>
      </c>
      <c r="F97" s="39"/>
      <c r="G97" s="39">
        <v>0</v>
      </c>
      <c r="H97" s="39"/>
      <c r="I97" s="39">
        <v>300</v>
      </c>
      <c r="J97" s="74"/>
    </row>
    <row r="98" spans="1:10" x14ac:dyDescent="0.25">
      <c r="C98" s="2" t="s">
        <v>170</v>
      </c>
      <c r="E98" s="43">
        <f>SUM(E90:E97)</f>
        <v>3897</v>
      </c>
      <c r="F98" s="39"/>
      <c r="G98" s="43">
        <f>SUM(G90:G97)</f>
        <v>4021</v>
      </c>
      <c r="H98" s="39"/>
      <c r="I98" s="43">
        <f>SUM(I90:I97)</f>
        <v>5255</v>
      </c>
    </row>
    <row r="99" spans="1:10" x14ac:dyDescent="0.25">
      <c r="E99" s="39"/>
      <c r="F99" s="39"/>
      <c r="G99" s="39"/>
      <c r="H99" s="39"/>
      <c r="I99" s="39"/>
      <c r="J99" s="74"/>
    </row>
    <row r="100" spans="1:10" hidden="1" x14ac:dyDescent="0.25">
      <c r="A100" s="2" t="s">
        <v>171</v>
      </c>
      <c r="E100" s="39"/>
      <c r="F100" s="39"/>
      <c r="G100" s="39"/>
      <c r="H100" s="39"/>
      <c r="I100" s="39"/>
    </row>
    <row r="101" spans="1:10" hidden="1" x14ac:dyDescent="0.25">
      <c r="B101" s="2" t="s">
        <v>172</v>
      </c>
      <c r="E101" s="39"/>
      <c r="F101" s="39"/>
      <c r="G101" s="39"/>
      <c r="H101" s="39"/>
      <c r="I101" s="39"/>
    </row>
    <row r="102" spans="1:10" hidden="1" x14ac:dyDescent="0.25">
      <c r="B102" s="2" t="s">
        <v>173</v>
      </c>
      <c r="E102" s="39"/>
      <c r="F102" s="39"/>
      <c r="G102" s="39"/>
      <c r="H102" s="39"/>
      <c r="I102" s="39"/>
      <c r="J102" s="74"/>
    </row>
    <row r="103" spans="1:10" hidden="1" x14ac:dyDescent="0.25">
      <c r="B103" s="2" t="s">
        <v>174</v>
      </c>
      <c r="E103" s="39"/>
      <c r="F103" s="39"/>
      <c r="G103" s="39"/>
      <c r="H103" s="39"/>
      <c r="I103" s="39"/>
    </row>
    <row r="104" spans="1:10" hidden="1" x14ac:dyDescent="0.25">
      <c r="B104" s="2" t="s">
        <v>175</v>
      </c>
      <c r="E104" s="39"/>
      <c r="F104" s="39"/>
      <c r="G104" s="39"/>
      <c r="H104" s="39"/>
      <c r="I104" s="39"/>
      <c r="J104" s="74"/>
    </row>
    <row r="105" spans="1:10" hidden="1" x14ac:dyDescent="0.25">
      <c r="B105" s="2" t="s">
        <v>140</v>
      </c>
      <c r="E105" s="39"/>
      <c r="F105" s="39"/>
      <c r="G105" s="39"/>
      <c r="H105" s="39"/>
      <c r="I105" s="39"/>
      <c r="J105" s="74"/>
    </row>
    <row r="106" spans="1:10" hidden="1" x14ac:dyDescent="0.25">
      <c r="B106" s="2" t="s">
        <v>176</v>
      </c>
      <c r="E106" s="39"/>
      <c r="F106" s="39"/>
      <c r="G106" s="39"/>
      <c r="H106" s="39"/>
      <c r="I106" s="39"/>
    </row>
    <row r="107" spans="1:10" hidden="1" x14ac:dyDescent="0.25">
      <c r="B107" s="2" t="s">
        <v>177</v>
      </c>
      <c r="E107" s="39"/>
      <c r="F107" s="39"/>
      <c r="G107" s="39"/>
      <c r="H107" s="39"/>
      <c r="I107" s="39"/>
    </row>
    <row r="108" spans="1:10" hidden="1" x14ac:dyDescent="0.25">
      <c r="C108" s="2" t="s">
        <v>178</v>
      </c>
      <c r="E108" s="43">
        <f>SUM(E101:E107)</f>
        <v>0</v>
      </c>
      <c r="F108" s="39"/>
      <c r="G108" s="43">
        <f>SUM(G101:G107)</f>
        <v>0</v>
      </c>
      <c r="H108" s="39"/>
      <c r="I108" s="43">
        <f>SUM(I101:I107)</f>
        <v>0</v>
      </c>
    </row>
    <row r="109" spans="1:10" hidden="1" x14ac:dyDescent="0.25">
      <c r="E109" s="39"/>
      <c r="F109" s="39"/>
      <c r="G109" s="39"/>
      <c r="H109" s="39"/>
      <c r="I109" s="39"/>
    </row>
    <row r="110" spans="1:10" ht="16.5" thickBot="1" x14ac:dyDescent="0.3">
      <c r="C110" s="2" t="s">
        <v>179</v>
      </c>
      <c r="E110" s="104">
        <f>+E98+E87+E79+E74+E108</f>
        <v>78245</v>
      </c>
      <c r="F110" s="39"/>
      <c r="G110" s="104">
        <f>+G98+G87+G79+G74+G108</f>
        <v>87503</v>
      </c>
      <c r="H110" s="39"/>
      <c r="I110" s="104">
        <f>+I98+I87+I79+I74+I108</f>
        <v>109662</v>
      </c>
    </row>
    <row r="111" spans="1:10" ht="16.5" thickTop="1" x14ac:dyDescent="0.25">
      <c r="E111" s="39"/>
      <c r="F111" s="39"/>
      <c r="G111" s="39"/>
      <c r="H111" s="39"/>
      <c r="I111" s="39"/>
    </row>
    <row r="112" spans="1:10" x14ac:dyDescent="0.25">
      <c r="E112" s="6"/>
      <c r="F112" s="6"/>
      <c r="G112" s="6"/>
      <c r="H112" s="6"/>
      <c r="I112" s="6"/>
    </row>
    <row r="113" spans="5:10" x14ac:dyDescent="0.25">
      <c r="E113" s="6">
        <f>+E110-E57</f>
        <v>0</v>
      </c>
      <c r="F113" s="6"/>
      <c r="G113" s="6">
        <f>+G110-G57</f>
        <v>0</v>
      </c>
      <c r="H113" s="6"/>
      <c r="I113" s="6">
        <f>+I110-I57</f>
        <v>0</v>
      </c>
      <c r="J113" s="2" t="s">
        <v>98</v>
      </c>
    </row>
    <row r="114" spans="5:10" x14ac:dyDescent="0.25">
      <c r="E114" s="6"/>
      <c r="F114" s="6"/>
      <c r="G114" s="6"/>
      <c r="H114" s="6"/>
      <c r="I114" s="6"/>
    </row>
    <row r="115" spans="5:10" x14ac:dyDescent="0.25">
      <c r="E115" s="6"/>
      <c r="F115" s="6"/>
      <c r="G115" s="6"/>
      <c r="H115" s="6"/>
      <c r="I115" s="6"/>
    </row>
    <row r="116" spans="5:10" x14ac:dyDescent="0.25">
      <c r="E116" s="6"/>
      <c r="F116" s="6"/>
      <c r="G116" s="6"/>
      <c r="H116" s="6"/>
      <c r="I116" s="6"/>
    </row>
    <row r="117" spans="5:10" x14ac:dyDescent="0.25">
      <c r="E117" s="6"/>
      <c r="F117" s="6"/>
      <c r="G117" s="6"/>
      <c r="H117" s="6"/>
      <c r="I117" s="6"/>
    </row>
    <row r="118" spans="5:10" x14ac:dyDescent="0.25">
      <c r="E118" s="6"/>
      <c r="F118" s="6"/>
      <c r="G118" s="6"/>
      <c r="H118" s="6"/>
      <c r="I118" s="6"/>
    </row>
    <row r="119" spans="5:10" x14ac:dyDescent="0.25">
      <c r="E119" s="6"/>
      <c r="F119" s="6"/>
      <c r="G119" s="6"/>
      <c r="H119" s="6"/>
      <c r="I119" s="6"/>
    </row>
    <row r="120" spans="5:10" x14ac:dyDescent="0.25">
      <c r="E120" s="6"/>
      <c r="F120" s="6"/>
      <c r="G120" s="6"/>
      <c r="H120" s="6"/>
      <c r="I120" s="6"/>
    </row>
    <row r="121" spans="5:10" x14ac:dyDescent="0.25">
      <c r="E121" s="6"/>
      <c r="F121" s="6"/>
      <c r="G121" s="6"/>
      <c r="H121" s="6"/>
      <c r="I121" s="6"/>
    </row>
    <row r="122" spans="5:10" x14ac:dyDescent="0.25">
      <c r="E122" s="6"/>
      <c r="F122" s="6"/>
      <c r="G122" s="6"/>
      <c r="H122" s="6"/>
      <c r="I122" s="6"/>
    </row>
    <row r="123" spans="5:10" x14ac:dyDescent="0.25">
      <c r="E123" s="6"/>
      <c r="F123" s="6"/>
      <c r="G123" s="6"/>
      <c r="H123" s="6"/>
      <c r="I123" s="6"/>
    </row>
    <row r="124" spans="5:10" x14ac:dyDescent="0.25">
      <c r="E124" s="6"/>
      <c r="F124" s="6"/>
      <c r="G124" s="6"/>
      <c r="H124" s="6"/>
      <c r="I124" s="6"/>
    </row>
    <row r="125" spans="5:10" x14ac:dyDescent="0.25">
      <c r="E125" s="6"/>
      <c r="F125" s="6"/>
      <c r="G125" s="6"/>
      <c r="H125" s="6"/>
      <c r="I125" s="6"/>
    </row>
    <row r="126" spans="5:10" x14ac:dyDescent="0.25">
      <c r="E126" s="6"/>
      <c r="F126" s="6"/>
      <c r="G126" s="6"/>
      <c r="H126" s="6"/>
      <c r="I126" s="6"/>
    </row>
    <row r="127" spans="5:10" x14ac:dyDescent="0.25">
      <c r="E127" s="6"/>
      <c r="F127" s="6"/>
      <c r="G127" s="6"/>
      <c r="H127" s="6"/>
      <c r="I127" s="6"/>
    </row>
    <row r="128" spans="5:10" x14ac:dyDescent="0.25">
      <c r="E128" s="6"/>
      <c r="F128" s="6"/>
      <c r="G128" s="6"/>
      <c r="H128" s="6"/>
      <c r="I128" s="6"/>
    </row>
    <row r="129" spans="5:9" x14ac:dyDescent="0.25">
      <c r="E129" s="6"/>
      <c r="F129" s="6"/>
      <c r="G129" s="6"/>
      <c r="H129" s="6"/>
      <c r="I129" s="6"/>
    </row>
    <row r="130" spans="5:9" x14ac:dyDescent="0.25">
      <c r="E130" s="6"/>
      <c r="F130" s="6"/>
      <c r="G130" s="6"/>
      <c r="H130" s="6"/>
      <c r="I130" s="6"/>
    </row>
    <row r="131" spans="5:9" x14ac:dyDescent="0.25">
      <c r="E131" s="6"/>
      <c r="F131" s="6"/>
      <c r="G131" s="6"/>
      <c r="H131" s="6"/>
      <c r="I131" s="6"/>
    </row>
    <row r="132" spans="5:9" x14ac:dyDescent="0.25">
      <c r="E132" s="6"/>
      <c r="F132" s="6"/>
      <c r="G132" s="6"/>
      <c r="H132" s="6"/>
      <c r="I132" s="6"/>
    </row>
    <row r="133" spans="5:9" x14ac:dyDescent="0.25">
      <c r="E133" s="6"/>
      <c r="F133" s="6"/>
      <c r="G133" s="6"/>
      <c r="H133" s="6"/>
      <c r="I133" s="6"/>
    </row>
    <row r="134" spans="5:9" x14ac:dyDescent="0.25">
      <c r="E134" s="6"/>
      <c r="F134" s="6"/>
      <c r="G134" s="6"/>
      <c r="H134" s="6"/>
      <c r="I134" s="6"/>
    </row>
  </sheetData>
  <mergeCells count="9">
    <mergeCell ref="A66:I66"/>
    <mergeCell ref="A63:I63"/>
    <mergeCell ref="A65:I65"/>
    <mergeCell ref="A4:I4"/>
    <mergeCell ref="A5:I5"/>
    <mergeCell ref="A7:I7"/>
    <mergeCell ref="A62:I62"/>
    <mergeCell ref="A8:I8"/>
    <mergeCell ref="A10:C10"/>
  </mergeCells>
  <phoneticPr fontId="7" type="noConversion"/>
  <printOptions horizontalCentered="1"/>
  <pageMargins left="0.25" right="0.25" top="0.5" bottom="0.5" header="0.5" footer="0.5"/>
  <pageSetup scale="88" fitToHeight="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1"/>
    <pageSetUpPr fitToPage="1"/>
  </sheetPr>
  <dimension ref="A1:M99"/>
  <sheetViews>
    <sheetView view="pageBreakPreview" zoomScale="115" zoomScaleNormal="100" zoomScaleSheetLayoutView="115" workbookViewId="0">
      <selection activeCell="L68" sqref="L68"/>
    </sheetView>
  </sheetViews>
  <sheetFormatPr defaultColWidth="9" defaultRowHeight="15.75" x14ac:dyDescent="0.25"/>
  <cols>
    <col min="1" max="1" width="3" style="2" customWidth="1"/>
    <col min="2" max="2" width="2.75" style="2" customWidth="1"/>
    <col min="3" max="3" width="32.625" style="2" customWidth="1"/>
    <col min="4" max="4" width="1.625" style="2" customWidth="1"/>
    <col min="5" max="5" width="12.625" style="2" customWidth="1"/>
    <col min="6" max="6" width="1.625" style="2" customWidth="1"/>
    <col min="7" max="7" width="12.625" style="2" customWidth="1"/>
    <col min="8" max="8" width="1.625" style="2" customWidth="1"/>
    <col min="9" max="9" width="12.625" style="2" customWidth="1"/>
    <col min="10" max="16384" width="9" style="2"/>
  </cols>
  <sheetData>
    <row r="1" spans="1:12" x14ac:dyDescent="0.25">
      <c r="I1" s="12" t="str">
        <f>+'Sch 1'!$J$1</f>
        <v>OUCC</v>
      </c>
      <c r="J1" s="77"/>
      <c r="K1"/>
    </row>
    <row r="2" spans="1:12" x14ac:dyDescent="0.25">
      <c r="I2" s="12" t="s">
        <v>180</v>
      </c>
      <c r="J2" s="77"/>
      <c r="K2" s="74"/>
    </row>
    <row r="3" spans="1:12" x14ac:dyDescent="0.25">
      <c r="I3" s="12" t="s">
        <v>101</v>
      </c>
      <c r="J3" s="77"/>
      <c r="K3" s="73"/>
    </row>
    <row r="4" spans="1:12" ht="20.25" x14ac:dyDescent="0.3">
      <c r="A4" s="211" t="str">
        <f>+Inputs!$C$5</f>
        <v>Pleasantview Wastewater</v>
      </c>
      <c r="B4" s="211"/>
      <c r="C4" s="211"/>
      <c r="D4" s="211"/>
      <c r="E4" s="211"/>
      <c r="F4" s="211"/>
      <c r="G4" s="211"/>
      <c r="H4" s="211"/>
      <c r="I4" s="211"/>
      <c r="J4" s="77"/>
      <c r="K4" s="73"/>
      <c r="L4" s="37"/>
    </row>
    <row r="5" spans="1:12" ht="18.75" x14ac:dyDescent="0.3">
      <c r="A5" s="207" t="str">
        <f>"CAUSE NUMBER "&amp;+Inputs!$C$6</f>
        <v>CAUSE NUMBER 46122-U</v>
      </c>
      <c r="B5" s="207"/>
      <c r="C5" s="207"/>
      <c r="D5" s="207"/>
      <c r="E5" s="207"/>
      <c r="F5" s="207"/>
      <c r="G5" s="207"/>
      <c r="H5" s="207"/>
      <c r="I5" s="207"/>
      <c r="J5" s="77"/>
      <c r="K5" s="73"/>
      <c r="L5" s="37"/>
    </row>
    <row r="6" spans="1:12" x14ac:dyDescent="0.25">
      <c r="J6" s="77"/>
      <c r="K6" s="73"/>
    </row>
    <row r="7" spans="1:12" x14ac:dyDescent="0.25">
      <c r="A7" s="209" t="s">
        <v>181</v>
      </c>
      <c r="B7" s="209"/>
      <c r="C7" s="209"/>
      <c r="D7" s="209"/>
      <c r="E7" s="209"/>
      <c r="F7" s="209"/>
      <c r="G7" s="209"/>
      <c r="H7" s="209"/>
      <c r="I7" s="209"/>
      <c r="J7" s="77"/>
      <c r="K7" s="73"/>
    </row>
    <row r="8" spans="1:12" x14ac:dyDescent="0.25">
      <c r="A8" s="209" t="str">
        <f>"Twelve Months Ended "&amp;Inputs!C8&amp;","</f>
        <v>Twelve Months Ended December 31,</v>
      </c>
      <c r="B8" s="209"/>
      <c r="C8" s="209"/>
      <c r="D8" s="209"/>
      <c r="E8" s="209"/>
      <c r="F8" s="209"/>
      <c r="G8" s="209"/>
      <c r="H8" s="209"/>
      <c r="I8" s="209"/>
      <c r="J8" s="77"/>
      <c r="L8" s="74"/>
    </row>
    <row r="9" spans="1:12" x14ac:dyDescent="0.25">
      <c r="J9" s="77"/>
    </row>
    <row r="10" spans="1:12" x14ac:dyDescent="0.25">
      <c r="E10" s="5">
        <f>IF(Inputs!$E$8="year","YEAR 1",+Inputs!E8)</f>
        <v>2023</v>
      </c>
      <c r="G10" s="5">
        <f>IF(Inputs!$E$8="year","YEAR 2",+E10-1)</f>
        <v>2022</v>
      </c>
      <c r="I10" s="5">
        <f>IF(Inputs!$E$8="year","YEAR 3",+E10-2)</f>
        <v>2021</v>
      </c>
      <c r="J10" s="77"/>
    </row>
    <row r="11" spans="1:12" x14ac:dyDescent="0.25">
      <c r="J11" s="78"/>
      <c r="K11" s="73"/>
    </row>
    <row r="12" spans="1:12" x14ac:dyDescent="0.25">
      <c r="A12" s="2" t="s">
        <v>182</v>
      </c>
      <c r="E12" s="38">
        <v>81327</v>
      </c>
      <c r="F12" s="38"/>
      <c r="G12" s="38">
        <v>77914</v>
      </c>
      <c r="H12" s="38"/>
      <c r="I12" s="38">
        <v>86335</v>
      </c>
      <c r="J12" s="78"/>
    </row>
    <row r="13" spans="1:12" hidden="1" x14ac:dyDescent="0.25">
      <c r="C13" s="2" t="s">
        <v>183</v>
      </c>
      <c r="J13" s="78"/>
    </row>
    <row r="14" spans="1:12" hidden="1" x14ac:dyDescent="0.25">
      <c r="C14" s="2" t="s">
        <v>184</v>
      </c>
      <c r="E14" s="39"/>
      <c r="F14" s="39"/>
      <c r="G14" s="39"/>
      <c r="H14" s="39"/>
      <c r="I14" s="39"/>
      <c r="J14" s="78"/>
    </row>
    <row r="15" spans="1:12" hidden="1" x14ac:dyDescent="0.25">
      <c r="C15" s="2" t="s">
        <v>185</v>
      </c>
      <c r="E15" s="39"/>
      <c r="F15" s="39"/>
      <c r="G15" s="39"/>
      <c r="H15" s="39"/>
      <c r="I15" s="39"/>
      <c r="J15" s="78"/>
    </row>
    <row r="16" spans="1:12" hidden="1" x14ac:dyDescent="0.25">
      <c r="C16" s="2" t="s">
        <v>186</v>
      </c>
      <c r="E16" s="39"/>
      <c r="F16" s="39"/>
      <c r="G16" s="39"/>
      <c r="H16" s="39"/>
      <c r="I16" s="39"/>
      <c r="J16" s="78"/>
    </row>
    <row r="17" spans="1:10" hidden="1" x14ac:dyDescent="0.25">
      <c r="C17" s="2" t="s">
        <v>187</v>
      </c>
      <c r="E17" s="39"/>
      <c r="F17" s="39"/>
      <c r="G17" s="39"/>
      <c r="H17" s="39"/>
      <c r="I17" s="39"/>
      <c r="J17" s="78"/>
    </row>
    <row r="18" spans="1:10" hidden="1" x14ac:dyDescent="0.25">
      <c r="C18" s="2" t="s">
        <v>188</v>
      </c>
      <c r="E18" s="39"/>
      <c r="F18" s="39"/>
      <c r="G18" s="39"/>
      <c r="H18" s="39"/>
      <c r="I18" s="39"/>
      <c r="J18" s="78"/>
    </row>
    <row r="19" spans="1:10" hidden="1" x14ac:dyDescent="0.25">
      <c r="B19" s="2" t="s">
        <v>189</v>
      </c>
      <c r="E19" s="39"/>
      <c r="F19" s="39"/>
      <c r="G19" s="39"/>
      <c r="H19" s="39"/>
      <c r="I19" s="39"/>
    </row>
    <row r="20" spans="1:10" hidden="1" x14ac:dyDescent="0.25">
      <c r="C20" s="2" t="s">
        <v>190</v>
      </c>
      <c r="E20" s="39"/>
      <c r="F20" s="39"/>
      <c r="G20" s="39"/>
      <c r="H20" s="39"/>
      <c r="I20" s="39"/>
    </row>
    <row r="21" spans="1:10" hidden="1" x14ac:dyDescent="0.25">
      <c r="C21" s="2" t="s">
        <v>191</v>
      </c>
      <c r="E21" s="39"/>
      <c r="F21" s="39"/>
      <c r="G21" s="39"/>
      <c r="H21" s="39"/>
      <c r="I21" s="39"/>
      <c r="J21" s="78"/>
    </row>
    <row r="22" spans="1:10" hidden="1" x14ac:dyDescent="0.25">
      <c r="B22" s="2" t="s">
        <v>192</v>
      </c>
      <c r="E22" s="39"/>
      <c r="F22" s="39"/>
      <c r="G22" s="39"/>
      <c r="H22" s="39"/>
      <c r="I22" s="39"/>
      <c r="J22" s="78"/>
    </row>
    <row r="23" spans="1:10" hidden="1" x14ac:dyDescent="0.25">
      <c r="B23" s="2" t="s">
        <v>193</v>
      </c>
      <c r="E23" s="39"/>
      <c r="F23" s="39"/>
      <c r="G23" s="39"/>
      <c r="H23" s="39"/>
      <c r="I23" s="39"/>
      <c r="J23" s="78"/>
    </row>
    <row r="24" spans="1:10" hidden="1" x14ac:dyDescent="0.25">
      <c r="B24" s="2" t="s">
        <v>194</v>
      </c>
      <c r="E24" s="39"/>
      <c r="F24" s="39"/>
      <c r="G24" s="39"/>
      <c r="H24" s="39"/>
      <c r="I24" s="39"/>
      <c r="J24" s="78"/>
    </row>
    <row r="25" spans="1:10" hidden="1" x14ac:dyDescent="0.25">
      <c r="B25" s="2" t="s">
        <v>195</v>
      </c>
      <c r="E25" s="39"/>
      <c r="F25" s="39"/>
      <c r="G25" s="39"/>
      <c r="H25" s="39"/>
      <c r="I25" s="39"/>
      <c r="J25" s="78"/>
    </row>
    <row r="26" spans="1:10" ht="15" customHeight="1" x14ac:dyDescent="0.25">
      <c r="C26" s="2" t="s">
        <v>196</v>
      </c>
      <c r="E26" s="43">
        <f>SUM(E12:E25)</f>
        <v>81327</v>
      </c>
      <c r="F26" s="39"/>
      <c r="G26" s="43">
        <f>SUM(G12:G25)</f>
        <v>77914</v>
      </c>
      <c r="H26" s="39"/>
      <c r="I26" s="43">
        <f>SUM(I12:I25)</f>
        <v>86335</v>
      </c>
      <c r="J26" s="78"/>
    </row>
    <row r="27" spans="1:10" x14ac:dyDescent="0.25">
      <c r="E27" s="39"/>
      <c r="F27" s="39"/>
      <c r="G27" s="39"/>
      <c r="H27" s="39"/>
      <c r="I27" s="39"/>
      <c r="J27" s="78"/>
    </row>
    <row r="28" spans="1:10" x14ac:dyDescent="0.25">
      <c r="A28" s="2" t="s">
        <v>197</v>
      </c>
      <c r="E28" s="39"/>
      <c r="F28" s="39"/>
      <c r="G28" s="39"/>
      <c r="H28" s="39"/>
      <c r="I28" s="39"/>
      <c r="J28" s="78"/>
    </row>
    <row r="29" spans="1:10" x14ac:dyDescent="0.25">
      <c r="B29" s="2" t="s">
        <v>198</v>
      </c>
      <c r="E29" s="39">
        <v>1002</v>
      </c>
      <c r="F29" s="39"/>
      <c r="G29" s="39">
        <v>1292</v>
      </c>
      <c r="H29" s="39"/>
      <c r="I29" s="39">
        <v>1037</v>
      </c>
      <c r="J29" s="78"/>
    </row>
    <row r="30" spans="1:10" x14ac:dyDescent="0.25">
      <c r="B30" s="2" t="s">
        <v>199</v>
      </c>
      <c r="E30" s="39">
        <v>8392</v>
      </c>
      <c r="F30" s="39"/>
      <c r="G30" s="39">
        <v>8392</v>
      </c>
      <c r="H30" s="39"/>
      <c r="I30" s="39">
        <v>8392</v>
      </c>
      <c r="J30" s="78"/>
    </row>
    <row r="31" spans="1:10" hidden="1" x14ac:dyDescent="0.25">
      <c r="B31" s="2" t="s">
        <v>200</v>
      </c>
      <c r="E31" s="39"/>
      <c r="F31" s="39"/>
      <c r="G31" s="39"/>
      <c r="H31" s="39"/>
      <c r="I31" s="39"/>
      <c r="J31" s="78"/>
    </row>
    <row r="32" spans="1:10" x14ac:dyDescent="0.25">
      <c r="B32" s="2" t="s">
        <v>201</v>
      </c>
      <c r="E32" s="39">
        <v>436</v>
      </c>
      <c r="F32" s="39"/>
      <c r="G32" s="39">
        <v>0</v>
      </c>
      <c r="H32" s="39"/>
      <c r="I32" s="39">
        <v>0</v>
      </c>
      <c r="J32" s="78"/>
    </row>
    <row r="33" spans="2:13" x14ac:dyDescent="0.25">
      <c r="B33" s="2" t="s">
        <v>202</v>
      </c>
      <c r="E33" s="39">
        <v>11357</v>
      </c>
      <c r="F33" s="39"/>
      <c r="G33" s="39">
        <v>9163</v>
      </c>
      <c r="H33" s="39"/>
      <c r="I33" s="39">
        <v>9345</v>
      </c>
      <c r="J33" s="78"/>
    </row>
    <row r="34" spans="2:13" hidden="1" x14ac:dyDescent="0.25">
      <c r="B34" s="2" t="s">
        <v>203</v>
      </c>
      <c r="E34" s="39"/>
      <c r="F34" s="39"/>
      <c r="G34" s="39"/>
      <c r="H34" s="39"/>
      <c r="I34" s="39"/>
      <c r="J34" s="78"/>
    </row>
    <row r="35" spans="2:13" x14ac:dyDescent="0.25">
      <c r="B35" s="2" t="s">
        <v>204</v>
      </c>
      <c r="E35" s="39">
        <v>833</v>
      </c>
      <c r="F35" s="39"/>
      <c r="G35" s="39">
        <v>491</v>
      </c>
      <c r="H35" s="39"/>
      <c r="I35" s="39">
        <v>546</v>
      </c>
      <c r="J35" s="78"/>
    </row>
    <row r="36" spans="2:13" x14ac:dyDescent="0.25">
      <c r="B36" s="2" t="s">
        <v>205</v>
      </c>
      <c r="E36" s="39"/>
      <c r="F36" s="39"/>
      <c r="G36" s="39"/>
      <c r="H36" s="39"/>
      <c r="I36" s="39"/>
      <c r="J36" s="79"/>
      <c r="K36" s="80"/>
      <c r="L36" s="80"/>
      <c r="M36" s="80"/>
    </row>
    <row r="37" spans="2:13" hidden="1" x14ac:dyDescent="0.25">
      <c r="C37" s="2" t="s">
        <v>206</v>
      </c>
      <c r="E37" s="39"/>
      <c r="F37" s="39"/>
      <c r="G37" s="39"/>
      <c r="H37" s="39"/>
      <c r="I37" s="39"/>
      <c r="J37" s="79"/>
      <c r="K37" s="80"/>
      <c r="L37" s="80"/>
      <c r="M37" s="80"/>
    </row>
    <row r="38" spans="2:13" hidden="1" x14ac:dyDescent="0.25">
      <c r="C38" s="2" t="s">
        <v>207</v>
      </c>
      <c r="E38" s="39"/>
      <c r="F38" s="39"/>
      <c r="G38" s="39"/>
      <c r="H38" s="39"/>
      <c r="I38" s="39"/>
      <c r="J38" s="79"/>
      <c r="K38" s="80"/>
      <c r="L38" s="80"/>
      <c r="M38" s="80"/>
    </row>
    <row r="39" spans="2:13" hidden="1" x14ac:dyDescent="0.25">
      <c r="C39" s="2" t="s">
        <v>208</v>
      </c>
      <c r="E39" s="39"/>
      <c r="F39" s="39"/>
      <c r="G39" s="39"/>
      <c r="H39" s="39"/>
      <c r="I39" s="39"/>
      <c r="J39" s="79"/>
      <c r="K39" s="80"/>
      <c r="L39" s="80"/>
      <c r="M39" s="80"/>
    </row>
    <row r="40" spans="2:13" hidden="1" x14ac:dyDescent="0.25">
      <c r="C40" s="2" t="s">
        <v>209</v>
      </c>
      <c r="E40" s="39"/>
      <c r="F40" s="39"/>
      <c r="G40" s="39"/>
      <c r="H40" s="39"/>
      <c r="I40" s="39"/>
      <c r="J40" s="78"/>
    </row>
    <row r="41" spans="2:13" x14ac:dyDescent="0.25">
      <c r="C41" s="2" t="s">
        <v>210</v>
      </c>
      <c r="E41" s="39">
        <v>750</v>
      </c>
      <c r="F41" s="39"/>
      <c r="G41" s="39">
        <v>2500</v>
      </c>
      <c r="H41" s="39"/>
      <c r="I41" s="39">
        <v>7080</v>
      </c>
      <c r="J41" s="78"/>
    </row>
    <row r="42" spans="2:13" x14ac:dyDescent="0.25">
      <c r="C42" s="2" t="s">
        <v>211</v>
      </c>
      <c r="E42" s="39">
        <v>47671</v>
      </c>
      <c r="F42" s="39"/>
      <c r="G42" s="39">
        <v>23291</v>
      </c>
      <c r="H42" s="39"/>
      <c r="I42" s="39">
        <v>35360</v>
      </c>
      <c r="J42" s="216"/>
      <c r="K42" s="216"/>
      <c r="L42" s="216"/>
      <c r="M42" s="216"/>
    </row>
    <row r="43" spans="2:13" hidden="1" x14ac:dyDescent="0.25">
      <c r="B43" s="2" t="s">
        <v>212</v>
      </c>
      <c r="E43" s="39"/>
      <c r="F43" s="39"/>
      <c r="G43" s="39"/>
      <c r="H43" s="39"/>
      <c r="I43" s="39"/>
      <c r="J43" s="216"/>
      <c r="K43" s="216"/>
      <c r="L43" s="216"/>
      <c r="M43" s="216"/>
    </row>
    <row r="44" spans="2:13" hidden="1" x14ac:dyDescent="0.25">
      <c r="B44" s="2" t="s">
        <v>213</v>
      </c>
      <c r="E44" s="39"/>
      <c r="F44" s="39"/>
      <c r="G44" s="39"/>
      <c r="H44" s="39"/>
      <c r="I44" s="39"/>
      <c r="J44" s="216"/>
      <c r="K44" s="216"/>
      <c r="L44" s="216"/>
      <c r="M44" s="216"/>
    </row>
    <row r="45" spans="2:13" hidden="1" x14ac:dyDescent="0.25">
      <c r="B45" s="2" t="s">
        <v>214</v>
      </c>
      <c r="E45" s="39"/>
      <c r="F45" s="39"/>
      <c r="G45" s="39"/>
      <c r="H45" s="39"/>
      <c r="I45" s="39"/>
      <c r="J45" s="216"/>
      <c r="K45" s="216"/>
      <c r="L45" s="216"/>
      <c r="M45" s="216"/>
    </row>
    <row r="46" spans="2:13" x14ac:dyDescent="0.25">
      <c r="B46" s="2" t="s">
        <v>215</v>
      </c>
      <c r="E46" s="39">
        <v>875</v>
      </c>
      <c r="F46" s="39"/>
      <c r="G46" s="39">
        <v>925</v>
      </c>
      <c r="H46" s="39"/>
      <c r="I46" s="39">
        <v>998</v>
      </c>
      <c r="J46" s="78"/>
    </row>
    <row r="47" spans="2:13" hidden="1" x14ac:dyDescent="0.25">
      <c r="C47" s="2" t="s">
        <v>216</v>
      </c>
      <c r="E47" s="39"/>
      <c r="F47" s="39"/>
      <c r="G47" s="39"/>
      <c r="H47" s="39"/>
      <c r="I47" s="39"/>
      <c r="J47" s="78"/>
    </row>
    <row r="48" spans="2:13" hidden="1" x14ac:dyDescent="0.25">
      <c r="C48" s="2" t="s">
        <v>217</v>
      </c>
      <c r="E48" s="39"/>
      <c r="F48" s="39"/>
      <c r="G48" s="39"/>
      <c r="H48" s="39"/>
      <c r="I48" s="39"/>
      <c r="J48" s="78"/>
    </row>
    <row r="49" spans="1:10" hidden="1" x14ac:dyDescent="0.25">
      <c r="C49" s="2" t="s">
        <v>218</v>
      </c>
      <c r="E49" s="39"/>
      <c r="F49" s="39"/>
      <c r="G49" s="39"/>
      <c r="H49" s="39"/>
      <c r="I49" s="39"/>
      <c r="J49" s="78"/>
    </row>
    <row r="50" spans="1:10" hidden="1" x14ac:dyDescent="0.25">
      <c r="C50" s="2" t="s">
        <v>211</v>
      </c>
      <c r="E50" s="39"/>
      <c r="F50" s="39"/>
      <c r="G50" s="39"/>
      <c r="H50" s="39"/>
      <c r="I50" s="39"/>
      <c r="J50" s="78"/>
    </row>
    <row r="51" spans="1:10" hidden="1" x14ac:dyDescent="0.25">
      <c r="B51" s="2" t="s">
        <v>219</v>
      </c>
      <c r="E51" s="39"/>
      <c r="F51" s="39"/>
      <c r="G51" s="39"/>
      <c r="H51" s="39"/>
      <c r="I51" s="39"/>
      <c r="J51" s="78"/>
    </row>
    <row r="52" spans="1:10" hidden="1" x14ac:dyDescent="0.25">
      <c r="B52" s="2" t="s">
        <v>84</v>
      </c>
      <c r="E52" s="39"/>
      <c r="F52" s="39"/>
      <c r="G52" s="39"/>
      <c r="H52" s="39"/>
      <c r="I52" s="39"/>
      <c r="J52" s="78"/>
    </row>
    <row r="53" spans="1:10" hidden="1" x14ac:dyDescent="0.25">
      <c r="B53" s="2" t="s">
        <v>220</v>
      </c>
      <c r="E53" s="39"/>
      <c r="F53" s="39"/>
      <c r="G53" s="39"/>
      <c r="H53" s="39"/>
      <c r="I53" s="39"/>
      <c r="J53" s="78"/>
    </row>
    <row r="54" spans="1:10" x14ac:dyDescent="0.25">
      <c r="B54" s="2" t="s">
        <v>14</v>
      </c>
      <c r="E54" s="39">
        <v>147.91999999999999</v>
      </c>
      <c r="F54" s="39"/>
      <c r="G54" s="39">
        <v>0</v>
      </c>
      <c r="H54" s="39"/>
      <c r="I54" s="39">
        <v>0</v>
      </c>
      <c r="J54" s="78"/>
    </row>
    <row r="55" spans="1:10" x14ac:dyDescent="0.25">
      <c r="B55" s="2" t="s">
        <v>221</v>
      </c>
      <c r="E55" s="39">
        <f>2503-E54</f>
        <v>2355.08</v>
      </c>
      <c r="F55" s="39"/>
      <c r="G55" s="39">
        <v>2267</v>
      </c>
      <c r="H55" s="39"/>
      <c r="I55" s="39">
        <v>3322</v>
      </c>
    </row>
    <row r="56" spans="1:10" s="6" customFormat="1" x14ac:dyDescent="0.25">
      <c r="A56" s="39"/>
      <c r="B56" s="39"/>
      <c r="C56" s="39" t="s">
        <v>222</v>
      </c>
      <c r="D56" s="39"/>
      <c r="E56" s="43">
        <f>SUM(E29:E55)</f>
        <v>73819</v>
      </c>
      <c r="F56" s="39"/>
      <c r="G56" s="43">
        <f>SUM(G29:G55)</f>
        <v>48321</v>
      </c>
      <c r="H56" s="39"/>
      <c r="I56" s="43">
        <f>SUM(I29:I55)</f>
        <v>66080</v>
      </c>
    </row>
    <row r="57" spans="1:10" x14ac:dyDescent="0.25">
      <c r="E57" s="39"/>
      <c r="F57" s="39"/>
      <c r="G57" s="39"/>
      <c r="H57" s="39"/>
      <c r="I57" s="39"/>
    </row>
    <row r="58" spans="1:10" hidden="1" x14ac:dyDescent="0.25">
      <c r="I58" s="12" t="str">
        <f>+'Sch 1'!$J$1</f>
        <v>OUCC</v>
      </c>
    </row>
    <row r="59" spans="1:10" hidden="1" x14ac:dyDescent="0.25">
      <c r="I59" s="12" t="s">
        <v>180</v>
      </c>
    </row>
    <row r="60" spans="1:10" hidden="1" x14ac:dyDescent="0.25">
      <c r="I60" s="12" t="s">
        <v>144</v>
      </c>
    </row>
    <row r="61" spans="1:10" ht="20.25" hidden="1" x14ac:dyDescent="0.3">
      <c r="A61" s="211" t="str">
        <f>+Inputs!$C$5</f>
        <v>Pleasantview Wastewater</v>
      </c>
      <c r="B61" s="211"/>
      <c r="C61" s="211"/>
      <c r="D61" s="211"/>
      <c r="E61" s="211"/>
      <c r="F61" s="211"/>
      <c r="G61" s="211"/>
      <c r="H61" s="211"/>
      <c r="I61" s="211"/>
    </row>
    <row r="62" spans="1:10" ht="18.75" hidden="1" x14ac:dyDescent="0.3">
      <c r="A62" s="207" t="str">
        <f>"CAUSE NUMBER "&amp;+Inputs!$C$6</f>
        <v>CAUSE NUMBER 46122-U</v>
      </c>
      <c r="B62" s="207"/>
      <c r="C62" s="207"/>
      <c r="D62" s="207"/>
      <c r="E62" s="207"/>
      <c r="F62" s="207"/>
      <c r="G62" s="207"/>
      <c r="H62" s="207"/>
      <c r="I62" s="207"/>
    </row>
    <row r="63" spans="1:10" hidden="1" x14ac:dyDescent="0.25"/>
    <row r="64" spans="1:10" hidden="1" x14ac:dyDescent="0.25">
      <c r="A64" s="209" t="s">
        <v>181</v>
      </c>
      <c r="B64" s="209"/>
      <c r="C64" s="209"/>
      <c r="D64" s="209"/>
      <c r="E64" s="209"/>
      <c r="F64" s="209"/>
      <c r="G64" s="209"/>
      <c r="H64" s="209"/>
      <c r="I64" s="209"/>
    </row>
    <row r="65" spans="1:9" hidden="1" x14ac:dyDescent="0.25">
      <c r="A65" s="209" t="str">
        <f>"Twelve Months Ended "&amp;Inputs!C8&amp;","</f>
        <v>Twelve Months Ended December 31,</v>
      </c>
      <c r="B65" s="209"/>
      <c r="C65" s="209"/>
      <c r="D65" s="209"/>
      <c r="E65" s="209"/>
      <c r="F65" s="209"/>
      <c r="G65" s="209"/>
      <c r="H65" s="209"/>
      <c r="I65" s="209"/>
    </row>
    <row r="66" spans="1:9" hidden="1" x14ac:dyDescent="0.25"/>
    <row r="67" spans="1:9" hidden="1" x14ac:dyDescent="0.25">
      <c r="E67" s="5">
        <f>IF(Inputs!$E$8="year","YEAR 1",+Inputs!E8)</f>
        <v>2023</v>
      </c>
      <c r="G67" s="5">
        <f>IF(Inputs!$E$8="year","YEAR 2",+E67-1)</f>
        <v>2022</v>
      </c>
      <c r="I67" s="5">
        <f>IF(Inputs!$E$8="year","YEAR 3",+E67-2)</f>
        <v>2021</v>
      </c>
    </row>
    <row r="68" spans="1:9" s="6" customFormat="1" x14ac:dyDescent="0.25">
      <c r="A68" s="39"/>
      <c r="B68" s="39" t="s">
        <v>89</v>
      </c>
      <c r="C68" s="39"/>
      <c r="D68" s="39"/>
      <c r="E68" s="39">
        <v>15082</v>
      </c>
      <c r="F68" s="39"/>
      <c r="G68" s="39">
        <v>16307</v>
      </c>
      <c r="H68" s="39"/>
      <c r="I68" s="39">
        <v>17750</v>
      </c>
    </row>
    <row r="69" spans="1:9" hidden="1" x14ac:dyDescent="0.25">
      <c r="B69" s="2" t="s">
        <v>90</v>
      </c>
      <c r="E69" s="39"/>
      <c r="F69" s="39"/>
      <c r="G69" s="39"/>
      <c r="H69" s="39"/>
      <c r="I69" s="39"/>
    </row>
    <row r="70" spans="1:9" x14ac:dyDescent="0.25">
      <c r="E70" s="39"/>
      <c r="F70" s="39"/>
      <c r="G70" s="39"/>
      <c r="H70" s="39"/>
      <c r="I70" s="39"/>
    </row>
    <row r="71" spans="1:9" x14ac:dyDescent="0.25">
      <c r="A71" s="2" t="s">
        <v>91</v>
      </c>
      <c r="E71" s="39"/>
      <c r="F71" s="39"/>
      <c r="G71" s="39"/>
      <c r="H71" s="39"/>
      <c r="I71" s="39"/>
    </row>
    <row r="72" spans="1:9" x14ac:dyDescent="0.25">
      <c r="B72" s="2" t="s">
        <v>92</v>
      </c>
      <c r="E72" s="39">
        <v>856</v>
      </c>
      <c r="F72" s="39"/>
      <c r="G72" s="39">
        <v>800</v>
      </c>
      <c r="H72" s="39"/>
      <c r="I72" s="39">
        <f>1554/2</f>
        <v>777</v>
      </c>
    </row>
    <row r="73" spans="1:9" x14ac:dyDescent="0.25">
      <c r="B73" s="2" t="s">
        <v>93</v>
      </c>
      <c r="E73" s="39">
        <v>1336</v>
      </c>
      <c r="F73" s="39"/>
      <c r="G73" s="39">
        <v>1351</v>
      </c>
      <c r="H73" s="39"/>
      <c r="I73" s="39">
        <f>2316/2</f>
        <v>1158</v>
      </c>
    </row>
    <row r="74" spans="1:9" x14ac:dyDescent="0.25">
      <c r="B74" s="2" t="s">
        <v>223</v>
      </c>
      <c r="E74" s="39">
        <v>0</v>
      </c>
      <c r="F74" s="39"/>
      <c r="G74" s="39">
        <v>508</v>
      </c>
      <c r="H74" s="39"/>
      <c r="I74" s="39">
        <v>0</v>
      </c>
    </row>
    <row r="75" spans="1:9" x14ac:dyDescent="0.25">
      <c r="A75" s="2" t="s">
        <v>224</v>
      </c>
      <c r="E75" s="39"/>
      <c r="F75" s="39"/>
      <c r="G75" s="39"/>
      <c r="H75" s="39"/>
      <c r="I75" s="39"/>
    </row>
    <row r="76" spans="1:9" hidden="1" x14ac:dyDescent="0.25">
      <c r="B76" s="2" t="s">
        <v>94</v>
      </c>
      <c r="E76" s="39"/>
      <c r="F76" s="39"/>
      <c r="G76" s="39"/>
      <c r="H76" s="39"/>
      <c r="I76" s="39"/>
    </row>
    <row r="77" spans="1:9" x14ac:dyDescent="0.25">
      <c r="B77" s="2" t="s">
        <v>95</v>
      </c>
      <c r="E77" s="39">
        <v>0</v>
      </c>
      <c r="F77" s="39"/>
      <c r="G77" s="39">
        <v>0</v>
      </c>
      <c r="H77" s="39"/>
      <c r="I77" s="39">
        <v>992</v>
      </c>
    </row>
    <row r="78" spans="1:9" x14ac:dyDescent="0.25">
      <c r="B78" s="2" t="s">
        <v>225</v>
      </c>
      <c r="E78" s="39">
        <v>0</v>
      </c>
      <c r="F78" s="39"/>
      <c r="G78" s="39">
        <v>23250</v>
      </c>
      <c r="H78" s="39"/>
      <c r="I78" s="39">
        <v>0</v>
      </c>
    </row>
    <row r="79" spans="1:9" x14ac:dyDescent="0.25">
      <c r="C79" s="2" t="s">
        <v>96</v>
      </c>
      <c r="E79" s="43">
        <f>+E56+SUM(E68:E78)</f>
        <v>91093</v>
      </c>
      <c r="F79" s="39"/>
      <c r="G79" s="43">
        <f>+G56+SUM(G68:G78)</f>
        <v>90537</v>
      </c>
      <c r="H79" s="39"/>
      <c r="I79" s="43">
        <f>+I56+SUM(I68:I78)</f>
        <v>86757</v>
      </c>
    </row>
    <row r="80" spans="1:9" x14ac:dyDescent="0.25">
      <c r="E80" s="39"/>
      <c r="F80" s="39"/>
      <c r="G80" s="39"/>
      <c r="H80" s="39"/>
      <c r="I80" s="39"/>
    </row>
    <row r="81" spans="1:9" x14ac:dyDescent="0.25">
      <c r="C81" s="2" t="s">
        <v>97</v>
      </c>
      <c r="E81" s="39">
        <f>+E26-E79</f>
        <v>-9766</v>
      </c>
      <c r="F81" s="39"/>
      <c r="G81" s="39">
        <f>+G26-G79</f>
        <v>-12623</v>
      </c>
      <c r="H81" s="39"/>
      <c r="I81" s="39">
        <f>+I26-I79</f>
        <v>-422</v>
      </c>
    </row>
    <row r="82" spans="1:9" ht="6" customHeight="1" x14ac:dyDescent="0.25">
      <c r="E82" s="39"/>
      <c r="F82" s="39"/>
      <c r="G82" s="39"/>
      <c r="H82" s="39"/>
      <c r="I82" s="39"/>
    </row>
    <row r="83" spans="1:9" x14ac:dyDescent="0.25">
      <c r="A83" s="2" t="s">
        <v>226</v>
      </c>
      <c r="E83" s="39">
        <v>300</v>
      </c>
      <c r="F83" s="39"/>
      <c r="G83" s="39">
        <v>300</v>
      </c>
      <c r="H83" s="39"/>
      <c r="I83" s="39">
        <f>68/2</f>
        <v>34</v>
      </c>
    </row>
    <row r="84" spans="1:9" ht="6" customHeight="1" x14ac:dyDescent="0.25">
      <c r="E84" s="39"/>
      <c r="F84" s="39"/>
      <c r="G84" s="39"/>
      <c r="H84" s="39"/>
      <c r="I84" s="39"/>
    </row>
    <row r="85" spans="1:9" x14ac:dyDescent="0.25">
      <c r="A85" s="2" t="s">
        <v>227</v>
      </c>
      <c r="E85" s="39">
        <v>572</v>
      </c>
      <c r="F85" s="39"/>
      <c r="G85" s="39">
        <v>610</v>
      </c>
      <c r="H85" s="39"/>
      <c r="I85" s="39">
        <f>1295/2</f>
        <v>647.5</v>
      </c>
    </row>
    <row r="86" spans="1:9" hidden="1" x14ac:dyDescent="0.25">
      <c r="B86" s="2" t="s">
        <v>227</v>
      </c>
    </row>
    <row r="87" spans="1:9" hidden="1" x14ac:dyDescent="0.25">
      <c r="B87" t="s">
        <v>228</v>
      </c>
      <c r="E87" s="39"/>
      <c r="F87" s="39"/>
      <c r="G87" s="39"/>
      <c r="H87" s="39"/>
      <c r="I87" s="39"/>
    </row>
    <row r="88" spans="1:9" hidden="1" x14ac:dyDescent="0.25">
      <c r="B88" t="s">
        <v>229</v>
      </c>
      <c r="E88" s="39"/>
      <c r="F88" s="39"/>
      <c r="G88" s="39"/>
      <c r="H88" s="39"/>
      <c r="I88" s="39"/>
    </row>
    <row r="89" spans="1:9" hidden="1" x14ac:dyDescent="0.25">
      <c r="C89" s="2" t="s">
        <v>230</v>
      </c>
      <c r="E89" s="103">
        <f>SUM(E85:E88)</f>
        <v>572</v>
      </c>
      <c r="G89" s="103">
        <f>SUM(G85:G88)</f>
        <v>610</v>
      </c>
      <c r="I89" s="103">
        <f>SUM(I85:I88)</f>
        <v>647.5</v>
      </c>
    </row>
    <row r="90" spans="1:9" ht="6" customHeight="1" x14ac:dyDescent="0.25"/>
    <row r="91" spans="1:9" ht="16.5" thickBot="1" x14ac:dyDescent="0.3">
      <c r="A91" s="2" t="s">
        <v>231</v>
      </c>
      <c r="E91" s="109">
        <f>+E81+E83-E89</f>
        <v>-10038</v>
      </c>
      <c r="G91" s="109">
        <f>+G81+G83-G89</f>
        <v>-12933</v>
      </c>
      <c r="I91" s="109">
        <f>+I81+I83-I89</f>
        <v>-1035.5</v>
      </c>
    </row>
    <row r="92" spans="1:9" ht="16.5" thickTop="1" x14ac:dyDescent="0.25"/>
    <row r="95" spans="1:9" x14ac:dyDescent="0.25">
      <c r="E95" s="71"/>
      <c r="G95" s="71"/>
      <c r="I95" s="71"/>
    </row>
    <row r="99" spans="5:5" x14ac:dyDescent="0.25">
      <c r="E99" s="71"/>
    </row>
  </sheetData>
  <mergeCells count="9">
    <mergeCell ref="J42:M45"/>
    <mergeCell ref="A62:I62"/>
    <mergeCell ref="A64:I64"/>
    <mergeCell ref="A65:I65"/>
    <mergeCell ref="A4:I4"/>
    <mergeCell ref="A5:I5"/>
    <mergeCell ref="A7:I7"/>
    <mergeCell ref="A8:I8"/>
    <mergeCell ref="A61:I61"/>
  </mergeCells>
  <phoneticPr fontId="7" type="noConversion"/>
  <printOptions horizontalCentered="1"/>
  <pageMargins left="0.75" right="0.25" top="0.75" bottom="0.5" header="0.5" footer="0.5"/>
  <pageSetup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38"/>
    <pageSetUpPr fitToPage="1"/>
  </sheetPr>
  <dimension ref="A1:T137"/>
  <sheetViews>
    <sheetView view="pageBreakPreview" topLeftCell="A12" zoomScaleNormal="100" zoomScaleSheetLayoutView="100" workbookViewId="0">
      <selection activeCell="T65" sqref="T65"/>
    </sheetView>
  </sheetViews>
  <sheetFormatPr defaultColWidth="8.625" defaultRowHeight="15.75" x14ac:dyDescent="0.25"/>
  <cols>
    <col min="1" max="2" width="2.625" customWidth="1"/>
    <col min="3" max="3" width="23.375" customWidth="1"/>
    <col min="4" max="4" width="1.625" customWidth="1"/>
    <col min="5" max="5" width="11" customWidth="1"/>
    <col min="6" max="6" width="1.625" customWidth="1"/>
    <col min="7" max="7" width="11" customWidth="1"/>
    <col min="8" max="8" width="1.625" customWidth="1"/>
    <col min="9" max="9" width="6.5" style="93" bestFit="1" customWidth="1"/>
    <col min="10" max="10" width="1.625" customWidth="1"/>
    <col min="11" max="11" width="11" customWidth="1"/>
    <col min="12" max="12" width="1.625" customWidth="1"/>
    <col min="13" max="13" width="11.375" bestFit="1" customWidth="1"/>
    <col min="14" max="14" width="1.625" customWidth="1"/>
    <col min="15" max="15" width="5.125" style="1" customWidth="1"/>
    <col min="16" max="16" width="1.625" customWidth="1"/>
    <col min="17" max="17" width="10.875" style="42" customWidth="1"/>
  </cols>
  <sheetData>
    <row r="1" spans="1:18" x14ac:dyDescent="0.25">
      <c r="Q1" s="146" t="str">
        <f>+'Sch 1'!J1</f>
        <v>OUCC</v>
      </c>
    </row>
    <row r="2" spans="1:18" x14ac:dyDescent="0.25">
      <c r="Q2" s="146" t="s">
        <v>232</v>
      </c>
    </row>
    <row r="3" spans="1:18" x14ac:dyDescent="0.25">
      <c r="Q3" s="146" t="s">
        <v>101</v>
      </c>
    </row>
    <row r="4" spans="1:18" ht="20.25" x14ac:dyDescent="0.3">
      <c r="A4" s="211" t="str">
        <f>+Inputs!C5</f>
        <v>Pleasantview Wastewater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</row>
    <row r="5" spans="1:18" ht="18.75" x14ac:dyDescent="0.3">
      <c r="A5" s="207" t="str">
        <f>"CAUSE NUMBER "&amp;+Inputs!C6</f>
        <v>CAUSE NUMBER 46122-U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</row>
    <row r="7" spans="1:18" x14ac:dyDescent="0.25">
      <c r="A7" s="210" t="s">
        <v>233</v>
      </c>
      <c r="B7" s="210"/>
      <c r="C7" s="210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</row>
    <row r="9" spans="1:18" x14ac:dyDescent="0.25">
      <c r="E9" s="188" t="s">
        <v>234</v>
      </c>
      <c r="K9" s="189" t="s">
        <v>235</v>
      </c>
      <c r="Q9" s="189" t="s">
        <v>235</v>
      </c>
      <c r="R9" s="74"/>
    </row>
    <row r="10" spans="1:18" x14ac:dyDescent="0.25">
      <c r="E10" s="188" t="s">
        <v>236</v>
      </c>
      <c r="I10" s="188" t="s">
        <v>46</v>
      </c>
      <c r="K10" s="188" t="s">
        <v>237</v>
      </c>
      <c r="O10" s="188" t="s">
        <v>46</v>
      </c>
      <c r="Q10" s="147" t="s">
        <v>59</v>
      </c>
    </row>
    <row r="11" spans="1:18" x14ac:dyDescent="0.25">
      <c r="E11" s="148" t="str">
        <f>+Inputs!C9</f>
        <v>12/31/2023</v>
      </c>
      <c r="G11" s="5" t="s">
        <v>238</v>
      </c>
      <c r="I11" s="5" t="s">
        <v>48</v>
      </c>
      <c r="K11" s="5" t="s">
        <v>239</v>
      </c>
      <c r="M11" s="5" t="s">
        <v>238</v>
      </c>
      <c r="O11" s="5" t="s">
        <v>48</v>
      </c>
      <c r="Q11" s="149" t="s">
        <v>239</v>
      </c>
    </row>
    <row r="12" spans="1:18" x14ac:dyDescent="0.25">
      <c r="A12" t="s">
        <v>73</v>
      </c>
    </row>
    <row r="13" spans="1:18" hidden="1" x14ac:dyDescent="0.25">
      <c r="B13">
        <f>+'Sch 3 - IS'!B12</f>
        <v>0</v>
      </c>
      <c r="E13" s="41"/>
      <c r="G13" s="41"/>
      <c r="K13" s="41"/>
      <c r="M13" s="150"/>
    </row>
    <row r="14" spans="1:18" x14ac:dyDescent="0.25">
      <c r="C14" t="str">
        <f>+'Sch 3 - IS'!C13</f>
        <v>Residential</v>
      </c>
      <c r="E14" s="41">
        <f>+'Sch 3 - IS'!E12</f>
        <v>81327</v>
      </c>
      <c r="G14" s="41"/>
      <c r="I14" s="151"/>
      <c r="K14" s="41">
        <f>+E14+G15+G16</f>
        <v>103288</v>
      </c>
      <c r="M14" s="150">
        <f>ROUND((K14/$K$26)*$M$26,0)</f>
        <v>8388</v>
      </c>
      <c r="Q14" s="41">
        <f>+K14+M14</f>
        <v>111676</v>
      </c>
    </row>
    <row r="15" spans="1:18" x14ac:dyDescent="0.25">
      <c r="C15" t="s">
        <v>240</v>
      </c>
      <c r="E15" s="41"/>
      <c r="G15" s="42">
        <f>ROUND('Sch 5 - Inc Adj'!I26,0)</f>
        <v>21585</v>
      </c>
      <c r="I15" s="152" t="s">
        <v>241</v>
      </c>
      <c r="K15" s="41"/>
      <c r="M15" s="150"/>
    </row>
    <row r="16" spans="1:18" x14ac:dyDescent="0.25">
      <c r="C16" t="s">
        <v>242</v>
      </c>
      <c r="E16" s="41"/>
      <c r="G16" s="42">
        <f>ROUND('Sch 5 - Inc Adj'!I39,0)</f>
        <v>376</v>
      </c>
      <c r="I16" s="152" t="s">
        <v>243</v>
      </c>
      <c r="K16" s="41"/>
      <c r="M16" s="150"/>
    </row>
    <row r="17" spans="2:20" hidden="1" x14ac:dyDescent="0.25">
      <c r="C17" t="str">
        <f>+'Sch 3 - IS'!C14</f>
        <v>Commercial</v>
      </c>
      <c r="E17" s="42">
        <f>+'Sch 3 - IS'!E14</f>
        <v>0</v>
      </c>
      <c r="G17" s="42"/>
      <c r="I17" s="151"/>
      <c r="K17" s="42">
        <f t="shared" ref="K17:K30" si="0">+E17+G17</f>
        <v>0</v>
      </c>
      <c r="M17" s="146">
        <f>ROUND((K17/$K$26)*$M$26,0)</f>
        <v>0</v>
      </c>
      <c r="Q17" s="42">
        <f t="shared" ref="Q17:Q30" si="1">+K17+M17</f>
        <v>0</v>
      </c>
      <c r="R17" s="74"/>
    </row>
    <row r="18" spans="2:20" hidden="1" x14ac:dyDescent="0.25">
      <c r="C18" t="str">
        <f>+'Sch 3 - IS'!C15</f>
        <v>Industrial</v>
      </c>
      <c r="E18" s="42">
        <f>+'Sch 3 - IS'!E15</f>
        <v>0</v>
      </c>
      <c r="G18" s="42"/>
      <c r="I18" s="151"/>
      <c r="K18" s="42">
        <f t="shared" si="0"/>
        <v>0</v>
      </c>
      <c r="M18" s="146">
        <f>ROUND((K18/$K$26)*$M$26,0)</f>
        <v>0</v>
      </c>
      <c r="Q18" s="42">
        <f t="shared" si="1"/>
        <v>0</v>
      </c>
    </row>
    <row r="19" spans="2:20" hidden="1" x14ac:dyDescent="0.25">
      <c r="C19" t="str">
        <f>+'Sch 3 - IS'!C16</f>
        <v>Public Authority</v>
      </c>
      <c r="E19" s="42">
        <f>+'Sch 3 - IS'!E16</f>
        <v>0</v>
      </c>
      <c r="G19" s="42"/>
      <c r="I19" s="151"/>
      <c r="K19" s="42">
        <f t="shared" si="0"/>
        <v>0</v>
      </c>
      <c r="M19" s="146">
        <f t="shared" ref="M19:M25" si="2">ROUND((K19/$K$26)*$M$26,0)</f>
        <v>0</v>
      </c>
      <c r="Q19" s="42">
        <f t="shared" si="1"/>
        <v>0</v>
      </c>
    </row>
    <row r="20" spans="2:20" hidden="1" x14ac:dyDescent="0.25">
      <c r="C20" t="str">
        <f>+'Sch 3 - IS'!C17</f>
        <v>Multi-Family</v>
      </c>
      <c r="E20" s="42">
        <f>+'Sch 3 - IS'!E17</f>
        <v>0</v>
      </c>
      <c r="G20" s="42"/>
      <c r="I20" s="151"/>
      <c r="K20" s="42">
        <f t="shared" si="0"/>
        <v>0</v>
      </c>
      <c r="M20" s="146">
        <f t="shared" si="2"/>
        <v>0</v>
      </c>
      <c r="Q20" s="42">
        <f t="shared" si="1"/>
        <v>0</v>
      </c>
    </row>
    <row r="21" spans="2:20" hidden="1" x14ac:dyDescent="0.25">
      <c r="C21" t="str">
        <f>+'Sch 3 - IS'!C18</f>
        <v>Sales for Resale</v>
      </c>
      <c r="E21" s="42">
        <f>+'Sch 3 - IS'!E18</f>
        <v>0</v>
      </c>
      <c r="G21" s="42"/>
      <c r="I21" s="151"/>
      <c r="K21" s="42">
        <f t="shared" si="0"/>
        <v>0</v>
      </c>
      <c r="M21" s="146">
        <f t="shared" si="2"/>
        <v>0</v>
      </c>
      <c r="Q21" s="42">
        <f t="shared" si="1"/>
        <v>0</v>
      </c>
    </row>
    <row r="22" spans="2:20" hidden="1" x14ac:dyDescent="0.25">
      <c r="B22" t="str">
        <f>+'Sch 3 - IS'!B19</f>
        <v>Fire Protection</v>
      </c>
      <c r="E22" s="41"/>
      <c r="G22" s="42"/>
      <c r="I22" s="151"/>
      <c r="K22" s="41"/>
      <c r="M22" s="146"/>
    </row>
    <row r="23" spans="2:20" hidden="1" x14ac:dyDescent="0.25">
      <c r="C23" t="str">
        <f>+'Sch 3 - IS'!C20</f>
        <v>Public</v>
      </c>
      <c r="E23" s="42">
        <f>+'Sch 3 - IS'!E20</f>
        <v>0</v>
      </c>
      <c r="G23" s="42"/>
      <c r="I23" s="151"/>
      <c r="K23" s="42">
        <f t="shared" si="0"/>
        <v>0</v>
      </c>
      <c r="M23" s="146">
        <f t="shared" si="2"/>
        <v>0</v>
      </c>
      <c r="Q23" s="42">
        <f t="shared" si="1"/>
        <v>0</v>
      </c>
      <c r="T23" s="153"/>
    </row>
    <row r="24" spans="2:20" hidden="1" x14ac:dyDescent="0.25">
      <c r="C24" t="str">
        <f>+'Sch 3 - IS'!C21</f>
        <v>Private</v>
      </c>
      <c r="E24" s="42">
        <f>+'Sch 3 - IS'!E21</f>
        <v>0</v>
      </c>
      <c r="G24" s="42"/>
      <c r="I24" s="151"/>
      <c r="K24" s="42">
        <f t="shared" si="0"/>
        <v>0</v>
      </c>
      <c r="M24" s="146">
        <f t="shared" si="2"/>
        <v>0</v>
      </c>
      <c r="Q24" s="42">
        <f t="shared" si="1"/>
        <v>0</v>
      </c>
    </row>
    <row r="25" spans="2:20" hidden="1" x14ac:dyDescent="0.25">
      <c r="B25" t="str">
        <f>+'Sch 3 - IS'!B22</f>
        <v>Late Payemnt Fees</v>
      </c>
      <c r="E25" s="42">
        <f>+'Sch 3 - IS'!E22</f>
        <v>0</v>
      </c>
      <c r="G25" s="42"/>
      <c r="I25" s="151"/>
      <c r="K25" s="42">
        <f t="shared" si="0"/>
        <v>0</v>
      </c>
      <c r="M25" s="146">
        <f t="shared" si="2"/>
        <v>0</v>
      </c>
      <c r="Q25" s="42">
        <f t="shared" si="1"/>
        <v>0</v>
      </c>
      <c r="T25" s="100"/>
    </row>
    <row r="26" spans="2:20" x14ac:dyDescent="0.25">
      <c r="C26" s="2" t="s">
        <v>244</v>
      </c>
      <c r="E26" s="154">
        <f>SUM(E14:E25)</f>
        <v>81327</v>
      </c>
      <c r="G26" s="154">
        <f>SUM(G14:G25)</f>
        <v>21961</v>
      </c>
      <c r="I26" s="151"/>
      <c r="K26" s="154">
        <f>SUM(K14:K25)</f>
        <v>103288</v>
      </c>
      <c r="M26" s="155">
        <f>+'Sch 1'!F20</f>
        <v>8388</v>
      </c>
      <c r="O26" s="1">
        <v>1</v>
      </c>
      <c r="Q26" s="154">
        <f>SUM(Q14:Q25)</f>
        <v>111676</v>
      </c>
    </row>
    <row r="27" spans="2:20" ht="8.4499999999999993" customHeight="1" x14ac:dyDescent="0.25">
      <c r="C27" s="2"/>
      <c r="E27" s="101"/>
      <c r="G27" s="101"/>
      <c r="I27" s="151"/>
      <c r="K27" s="101"/>
      <c r="M27" s="150"/>
    </row>
    <row r="28" spans="2:20" x14ac:dyDescent="0.25">
      <c r="B28" t="str">
        <f>+'Sch 3 - IS'!B23</f>
        <v>Miscellaneous Service Revenues</v>
      </c>
      <c r="E28" s="42">
        <f>+'Sch 3 - IS'!E23</f>
        <v>0</v>
      </c>
      <c r="G28" s="42"/>
      <c r="I28" s="151"/>
      <c r="K28" s="42">
        <f t="shared" si="0"/>
        <v>0</v>
      </c>
      <c r="M28" s="150"/>
      <c r="Q28" s="42">
        <f t="shared" si="1"/>
        <v>0</v>
      </c>
      <c r="T28" s="100"/>
    </row>
    <row r="29" spans="2:20" hidden="1" x14ac:dyDescent="0.25">
      <c r="B29" t="str">
        <f>+'Sch 3 - IS'!B24</f>
        <v>Rents from Water Property</v>
      </c>
      <c r="E29" s="42">
        <f>+'Sch 3 - IS'!E24</f>
        <v>0</v>
      </c>
      <c r="G29" s="42"/>
      <c r="K29" s="42">
        <f t="shared" si="0"/>
        <v>0</v>
      </c>
      <c r="M29" s="156"/>
      <c r="Q29" s="42">
        <f t="shared" si="1"/>
        <v>0</v>
      </c>
    </row>
    <row r="30" spans="2:20" x14ac:dyDescent="0.25">
      <c r="B30" t="str">
        <f>+'Sch 3 - IS'!B25</f>
        <v>Other Water Revenues</v>
      </c>
      <c r="E30" s="42">
        <f>+'Sch 3 - IS'!E25</f>
        <v>0</v>
      </c>
      <c r="G30" s="42"/>
      <c r="K30" s="42">
        <f t="shared" si="0"/>
        <v>0</v>
      </c>
      <c r="M30" s="42"/>
      <c r="Q30" s="42">
        <f t="shared" si="1"/>
        <v>0</v>
      </c>
    </row>
    <row r="31" spans="2:20" x14ac:dyDescent="0.25">
      <c r="C31" t="s">
        <v>196</v>
      </c>
      <c r="E31" s="99">
        <f>SUM(E26:E30)</f>
        <v>81327</v>
      </c>
      <c r="G31" s="99">
        <f>SUM(G26:G30)</f>
        <v>21961</v>
      </c>
      <c r="K31" s="99">
        <f>SUM(K26:K30)</f>
        <v>103288</v>
      </c>
      <c r="M31" s="99">
        <f>SUM(M26:M30)</f>
        <v>8388</v>
      </c>
      <c r="Q31" s="99">
        <f>SUM(Q26:Q30)</f>
        <v>111676</v>
      </c>
    </row>
    <row r="32" spans="2:20" x14ac:dyDescent="0.25">
      <c r="E32" s="42"/>
      <c r="G32" s="42"/>
      <c r="K32" s="42"/>
      <c r="M32" s="42"/>
    </row>
    <row r="33" spans="1:17" x14ac:dyDescent="0.25">
      <c r="A33" t="s">
        <v>76</v>
      </c>
      <c r="E33" s="42"/>
      <c r="G33" s="42"/>
      <c r="K33" s="42"/>
      <c r="M33" s="42"/>
    </row>
    <row r="34" spans="1:17" x14ac:dyDescent="0.25">
      <c r="B34" t="str">
        <f>+'Sch 3 - IS'!B29</f>
        <v>Salaries and Wages - Employees</v>
      </c>
      <c r="C34" s="2"/>
      <c r="E34" s="42">
        <f>+'Sch 3 - IS'!E29</f>
        <v>1002</v>
      </c>
      <c r="G34" s="42">
        <f>'Sch 6 - Exp Adj'!I16</f>
        <v>948</v>
      </c>
      <c r="I34" s="151" t="s">
        <v>245</v>
      </c>
      <c r="K34" s="42">
        <f>+E34+G34</f>
        <v>1950</v>
      </c>
      <c r="M34" s="42"/>
      <c r="Q34" s="42">
        <f>+K34+M34</f>
        <v>1950</v>
      </c>
    </row>
    <row r="35" spans="1:17" x14ac:dyDescent="0.25">
      <c r="B35" t="str">
        <f>'Sch 3 - IS'!B30</f>
        <v>Salaries and Wages - Officers</v>
      </c>
      <c r="C35" s="2"/>
      <c r="E35" s="42">
        <f>'Sch 3 - IS'!E30</f>
        <v>8392</v>
      </c>
      <c r="G35" s="42">
        <f>'Sch 6 - Exp Adj'!I25</f>
        <v>3608</v>
      </c>
      <c r="I35" s="152" t="s">
        <v>246</v>
      </c>
      <c r="K35" s="42">
        <f t="shared" ref="K35:K61" si="3">+E35+G35</f>
        <v>12000</v>
      </c>
      <c r="M35" s="42"/>
      <c r="Q35" s="42">
        <f t="shared" ref="Q35:Q61" si="4">+K35+M35</f>
        <v>12000</v>
      </c>
    </row>
    <row r="36" spans="1:17" hidden="1" x14ac:dyDescent="0.25">
      <c r="B36" t="str">
        <f>+'Sch 3 - IS'!B31</f>
        <v>Employee Benefits</v>
      </c>
      <c r="C36" s="2"/>
      <c r="E36" s="42">
        <f>+'Sch 3 - IS'!E31</f>
        <v>0</v>
      </c>
      <c r="G36" s="42"/>
      <c r="I36" s="151"/>
      <c r="K36" s="42">
        <f t="shared" si="3"/>
        <v>0</v>
      </c>
      <c r="M36" s="42"/>
      <c r="Q36" s="42">
        <f t="shared" si="4"/>
        <v>0</v>
      </c>
    </row>
    <row r="37" spans="1:17" x14ac:dyDescent="0.25">
      <c r="B37" t="str">
        <f>+'Sch 3 - IS'!B32</f>
        <v>Purchased Wastewater Treatment</v>
      </c>
      <c r="C37" s="2"/>
      <c r="E37" s="42">
        <f>+'Sch 3 - IS'!E32</f>
        <v>436</v>
      </c>
      <c r="G37" s="42">
        <v>2</v>
      </c>
      <c r="I37" s="157" t="s">
        <v>247</v>
      </c>
      <c r="K37" s="42">
        <f t="shared" si="3"/>
        <v>438</v>
      </c>
      <c r="M37" s="42"/>
      <c r="Q37" s="42">
        <f t="shared" si="4"/>
        <v>438</v>
      </c>
    </row>
    <row r="38" spans="1:17" x14ac:dyDescent="0.25">
      <c r="B38" t="str">
        <f>+'Sch 3 - IS'!B33</f>
        <v>Purchased Power</v>
      </c>
      <c r="C38" s="2"/>
      <c r="E38" s="42">
        <f>+'Sch 3 - IS'!E33</f>
        <v>11357</v>
      </c>
      <c r="G38" s="42">
        <v>41</v>
      </c>
      <c r="I38" s="157" t="s">
        <v>247</v>
      </c>
      <c r="K38" s="42">
        <f t="shared" si="3"/>
        <v>11398</v>
      </c>
      <c r="M38" s="42"/>
      <c r="Q38" s="42">
        <f t="shared" si="4"/>
        <v>11398</v>
      </c>
    </row>
    <row r="39" spans="1:17" hidden="1" x14ac:dyDescent="0.25">
      <c r="B39" t="str">
        <f>+'Sch 3 - IS'!B34</f>
        <v>Chemicals</v>
      </c>
      <c r="C39" s="2"/>
      <c r="E39" s="42">
        <f>+'Sch 3 - IS'!E34</f>
        <v>0</v>
      </c>
      <c r="G39" s="42"/>
      <c r="I39" s="151"/>
      <c r="K39" s="42">
        <f t="shared" si="3"/>
        <v>0</v>
      </c>
      <c r="M39" s="42"/>
      <c r="Q39" s="42">
        <f t="shared" si="4"/>
        <v>0</v>
      </c>
    </row>
    <row r="40" spans="1:17" x14ac:dyDescent="0.25">
      <c r="B40" t="str">
        <f>+'Sch 3 - IS'!B35</f>
        <v>Materials and Supplies</v>
      </c>
      <c r="C40" s="2"/>
      <c r="E40" s="42">
        <f>+'Sch 3 - IS'!E35</f>
        <v>833</v>
      </c>
      <c r="G40" s="42"/>
      <c r="I40" s="151"/>
      <c r="K40" s="42">
        <f>+E40+G40</f>
        <v>833</v>
      </c>
      <c r="M40" s="42"/>
      <c r="Q40" s="42">
        <f t="shared" si="4"/>
        <v>833</v>
      </c>
    </row>
    <row r="41" spans="1:17" x14ac:dyDescent="0.25">
      <c r="B41" t="str">
        <f>+'Sch 3 - IS'!B36</f>
        <v>Contractual Services</v>
      </c>
      <c r="C41" s="2"/>
      <c r="E41" s="42"/>
      <c r="G41" s="42"/>
      <c r="I41" s="151"/>
      <c r="K41" s="42"/>
      <c r="M41" s="42"/>
    </row>
    <row r="42" spans="1:17" hidden="1" x14ac:dyDescent="0.25">
      <c r="C42" t="str">
        <f>+'Sch 3 - IS'!C37</f>
        <v>Accounting</v>
      </c>
      <c r="E42" s="42">
        <f>+'Sch 3 - IS'!E37</f>
        <v>0</v>
      </c>
      <c r="G42" s="42"/>
      <c r="I42" s="151"/>
      <c r="K42" s="42">
        <f t="shared" si="3"/>
        <v>0</v>
      </c>
      <c r="M42" s="42"/>
      <c r="Q42" s="42">
        <f t="shared" si="4"/>
        <v>0</v>
      </c>
    </row>
    <row r="43" spans="1:17" hidden="1" x14ac:dyDescent="0.25">
      <c r="C43" t="str">
        <f>+'Sch 3 - IS'!C38</f>
        <v>Engineering</v>
      </c>
      <c r="E43" s="42">
        <f>+'Sch 3 - IS'!E38</f>
        <v>0</v>
      </c>
      <c r="G43" s="42"/>
      <c r="I43" s="151"/>
      <c r="K43" s="42">
        <f t="shared" si="3"/>
        <v>0</v>
      </c>
      <c r="M43" s="42"/>
      <c r="Q43" s="42">
        <f t="shared" si="4"/>
        <v>0</v>
      </c>
    </row>
    <row r="44" spans="1:17" hidden="1" x14ac:dyDescent="0.25">
      <c r="C44" t="str">
        <f>+'Sch 3 - IS'!C39</f>
        <v>Legal</v>
      </c>
      <c r="E44" s="42">
        <f>+'Sch 3 - IS'!E39</f>
        <v>0</v>
      </c>
      <c r="G44" s="42"/>
      <c r="I44" s="151"/>
      <c r="K44" s="42">
        <f t="shared" si="3"/>
        <v>0</v>
      </c>
      <c r="M44" s="42"/>
      <c r="Q44" s="42">
        <f t="shared" si="4"/>
        <v>0</v>
      </c>
    </row>
    <row r="45" spans="1:17" hidden="1" x14ac:dyDescent="0.25">
      <c r="C45" t="str">
        <f>+'Sch 3 - IS'!C40</f>
        <v>Management Fees</v>
      </c>
      <c r="E45" s="42">
        <f>+'Sch 3 - IS'!E40</f>
        <v>0</v>
      </c>
      <c r="G45" s="42"/>
      <c r="I45" s="151"/>
      <c r="K45" s="42">
        <f t="shared" si="3"/>
        <v>0</v>
      </c>
      <c r="M45" s="42"/>
      <c r="Q45" s="42">
        <f t="shared" si="4"/>
        <v>0</v>
      </c>
    </row>
    <row r="46" spans="1:17" x14ac:dyDescent="0.25">
      <c r="C46" t="str">
        <f>+'Sch 3 - IS'!C41</f>
        <v>Testing</v>
      </c>
      <c r="E46" s="42">
        <f>+'Sch 3 - IS'!E41</f>
        <v>750</v>
      </c>
      <c r="G46" s="42"/>
      <c r="I46" s="151"/>
      <c r="K46" s="42">
        <f t="shared" si="3"/>
        <v>750</v>
      </c>
      <c r="M46" s="42"/>
      <c r="Q46" s="42">
        <f t="shared" si="4"/>
        <v>750</v>
      </c>
    </row>
    <row r="47" spans="1:17" x14ac:dyDescent="0.25">
      <c r="C47" t="str">
        <f>+'Sch 3 - IS'!C42</f>
        <v>Other</v>
      </c>
      <c r="E47" s="42">
        <f>+'Sch 3 - IS'!E42</f>
        <v>47671</v>
      </c>
      <c r="G47" s="42"/>
      <c r="K47" s="42">
        <f>E47+G48+G49</f>
        <v>67909</v>
      </c>
      <c r="M47" s="42"/>
      <c r="Q47" s="42">
        <f t="shared" si="4"/>
        <v>67909</v>
      </c>
    </row>
    <row r="48" spans="1:17" x14ac:dyDescent="0.25">
      <c r="C48" s="2" t="s">
        <v>248</v>
      </c>
      <c r="E48" s="42"/>
      <c r="G48" s="42">
        <v>4920</v>
      </c>
      <c r="I48" s="1" t="s">
        <v>247</v>
      </c>
      <c r="K48" s="42"/>
      <c r="M48" s="42"/>
    </row>
    <row r="49" spans="2:19" x14ac:dyDescent="0.25">
      <c r="C49" s="2" t="s">
        <v>249</v>
      </c>
      <c r="E49" s="42"/>
      <c r="G49" s="42">
        <v>15318</v>
      </c>
      <c r="I49" s="1" t="s">
        <v>247</v>
      </c>
      <c r="K49" s="42"/>
      <c r="M49" s="42"/>
    </row>
    <row r="50" spans="2:19" hidden="1" x14ac:dyDescent="0.25">
      <c r="B50" t="str">
        <f>+'Sch 3 - IS'!B43</f>
        <v>Rental of Building/Real Property</v>
      </c>
      <c r="E50" s="42">
        <f>+'Sch 3 - IS'!E43</f>
        <v>0</v>
      </c>
      <c r="G50" s="42"/>
      <c r="K50" s="42">
        <f t="shared" si="3"/>
        <v>0</v>
      </c>
      <c r="M50" s="42"/>
      <c r="Q50" s="42">
        <f t="shared" si="4"/>
        <v>0</v>
      </c>
    </row>
    <row r="51" spans="2:19" hidden="1" x14ac:dyDescent="0.25">
      <c r="B51" t="str">
        <f>+'Sch 3 - IS'!B44</f>
        <v>Rental of Equipment</v>
      </c>
      <c r="E51" s="42">
        <f>+'Sch 3 - IS'!E44</f>
        <v>0</v>
      </c>
      <c r="G51" s="42"/>
      <c r="K51" s="42">
        <f t="shared" si="3"/>
        <v>0</v>
      </c>
      <c r="M51" s="42"/>
      <c r="Q51" s="42">
        <f t="shared" si="4"/>
        <v>0</v>
      </c>
    </row>
    <row r="52" spans="2:19" hidden="1" x14ac:dyDescent="0.25">
      <c r="B52" t="str">
        <f>+'Sch 3 - IS'!B45</f>
        <v>Transportation Expense</v>
      </c>
      <c r="E52" s="42">
        <f>+'Sch 3 - IS'!E45</f>
        <v>0</v>
      </c>
      <c r="G52" s="42"/>
      <c r="K52" s="42">
        <f t="shared" si="3"/>
        <v>0</v>
      </c>
      <c r="M52" s="42"/>
      <c r="Q52" s="42">
        <f t="shared" si="4"/>
        <v>0</v>
      </c>
    </row>
    <row r="53" spans="2:19" x14ac:dyDescent="0.25">
      <c r="B53" t="str">
        <f>+'Sch 3 - IS'!B46</f>
        <v>Insurance</v>
      </c>
      <c r="E53" s="42">
        <f>'Sch 3 - IS'!E46</f>
        <v>875</v>
      </c>
      <c r="G53" s="42">
        <v>352</v>
      </c>
      <c r="I53" s="1" t="s">
        <v>247</v>
      </c>
      <c r="K53" s="42">
        <f t="shared" si="3"/>
        <v>1227</v>
      </c>
      <c r="M53" s="42"/>
      <c r="Q53" s="42">
        <f t="shared" si="4"/>
        <v>1227</v>
      </c>
    </row>
    <row r="54" spans="2:19" hidden="1" x14ac:dyDescent="0.25">
      <c r="C54" t="str">
        <f>+'Sch 3 - IS'!C47</f>
        <v>Vehicle</v>
      </c>
      <c r="E54" s="42">
        <f>+'Sch 3 - IS'!E47</f>
        <v>0</v>
      </c>
      <c r="G54" s="42"/>
      <c r="K54" s="42">
        <f t="shared" si="3"/>
        <v>0</v>
      </c>
      <c r="M54" s="42"/>
      <c r="Q54" s="42">
        <f t="shared" si="4"/>
        <v>0</v>
      </c>
    </row>
    <row r="55" spans="2:19" hidden="1" x14ac:dyDescent="0.25">
      <c r="C55" t="str">
        <f>+'Sch 3 - IS'!C48</f>
        <v>General Liability</v>
      </c>
      <c r="E55" s="42">
        <f>+'Sch 3 - IS'!E48</f>
        <v>0</v>
      </c>
      <c r="G55" s="42"/>
      <c r="K55" s="42">
        <f t="shared" si="3"/>
        <v>0</v>
      </c>
      <c r="M55" s="42"/>
      <c r="Q55" s="42">
        <f t="shared" si="4"/>
        <v>0</v>
      </c>
    </row>
    <row r="56" spans="2:19" hidden="1" x14ac:dyDescent="0.25">
      <c r="C56" t="str">
        <f>+'Sch 3 - IS'!C49</f>
        <v>Workers' Compensation</v>
      </c>
      <c r="E56" s="42">
        <f>+'Sch 3 - IS'!E49</f>
        <v>0</v>
      </c>
      <c r="G56" s="42"/>
      <c r="K56" s="42">
        <f t="shared" si="3"/>
        <v>0</v>
      </c>
      <c r="M56" s="42"/>
      <c r="Q56" s="42">
        <f t="shared" si="4"/>
        <v>0</v>
      </c>
    </row>
    <row r="57" spans="2:19" hidden="1" x14ac:dyDescent="0.25">
      <c r="C57" t="str">
        <f>+'Sch 3 - IS'!C50</f>
        <v>Other</v>
      </c>
      <c r="E57" s="42">
        <f>+'Sch 3 - IS'!E50</f>
        <v>0</v>
      </c>
      <c r="G57" s="42"/>
      <c r="K57" s="42">
        <f t="shared" si="3"/>
        <v>0</v>
      </c>
      <c r="M57" s="42"/>
      <c r="Q57" s="42">
        <f t="shared" si="4"/>
        <v>0</v>
      </c>
    </row>
    <row r="58" spans="2:19" hidden="1" x14ac:dyDescent="0.25">
      <c r="B58" t="str">
        <f>+'Sch 3 - IS'!B51</f>
        <v>Advertising Expense</v>
      </c>
      <c r="E58" s="42">
        <f>+'Sch 3 - IS'!E51</f>
        <v>0</v>
      </c>
      <c r="G58" s="42"/>
      <c r="K58" s="42">
        <f t="shared" si="3"/>
        <v>0</v>
      </c>
      <c r="M58" s="42"/>
      <c r="Q58" s="42">
        <f t="shared" si="4"/>
        <v>0</v>
      </c>
    </row>
    <row r="59" spans="2:19" x14ac:dyDescent="0.25">
      <c r="B59" t="str">
        <f>+'Sch 3 - IS'!B52</f>
        <v>Rate Case Expense</v>
      </c>
      <c r="E59" s="42">
        <f>+'Sch 3 - IS'!E52</f>
        <v>0</v>
      </c>
      <c r="G59" s="42">
        <v>1500</v>
      </c>
      <c r="I59" s="1" t="s">
        <v>247</v>
      </c>
      <c r="K59" s="42">
        <f t="shared" si="3"/>
        <v>1500</v>
      </c>
      <c r="M59" s="42"/>
      <c r="Q59" s="42">
        <f t="shared" si="4"/>
        <v>1500</v>
      </c>
    </row>
    <row r="60" spans="2:19" x14ac:dyDescent="0.25">
      <c r="B60" t="s">
        <v>14</v>
      </c>
      <c r="E60" s="42">
        <f>ROUND('Sch 3 - IS'!E54,0)</f>
        <v>148</v>
      </c>
      <c r="G60" s="42">
        <f>ROUND('Sch 6 - Exp Adj'!I108,0)</f>
        <v>7</v>
      </c>
      <c r="I60" s="158" t="s">
        <v>250</v>
      </c>
      <c r="K60" s="42">
        <f>E60+G60</f>
        <v>155</v>
      </c>
      <c r="M60" s="42">
        <f>ROUND('Sch 1'!J47,0)</f>
        <v>13</v>
      </c>
      <c r="O60" s="1">
        <v>1</v>
      </c>
      <c r="Q60" s="42">
        <f>+K60+M60</f>
        <v>168</v>
      </c>
      <c r="S60" s="100"/>
    </row>
    <row r="61" spans="2:19" hidden="1" x14ac:dyDescent="0.25">
      <c r="B61" t="str">
        <f>+'Sch 3 - IS'!B53</f>
        <v>Bad Debt Expense</v>
      </c>
      <c r="E61" s="42">
        <f>+'Sch 3 - IS'!E53</f>
        <v>0</v>
      </c>
      <c r="G61" s="42"/>
      <c r="K61" s="42">
        <f t="shared" si="3"/>
        <v>0</v>
      </c>
      <c r="M61" s="42"/>
      <c r="Q61" s="42">
        <f t="shared" si="4"/>
        <v>0</v>
      </c>
    </row>
    <row r="62" spans="2:19" x14ac:dyDescent="0.25">
      <c r="B62" t="str">
        <f>+'Sch 3 - IS'!B55</f>
        <v>Miscellaneous Expense</v>
      </c>
      <c r="E62" s="42">
        <f>ROUND(+'Sch 3 - IS'!E55,0)</f>
        <v>2355</v>
      </c>
      <c r="G62" s="42">
        <v>0</v>
      </c>
      <c r="K62" s="42">
        <f>E62+G63+G64</f>
        <v>1269</v>
      </c>
      <c r="M62" s="42"/>
      <c r="Q62" s="42">
        <f>+K62+M62</f>
        <v>1269</v>
      </c>
    </row>
    <row r="63" spans="2:19" x14ac:dyDescent="0.25">
      <c r="C63" s="2" t="s">
        <v>251</v>
      </c>
      <c r="E63" s="42"/>
      <c r="G63" s="42">
        <v>7</v>
      </c>
      <c r="I63" s="1" t="s">
        <v>247</v>
      </c>
      <c r="K63" s="42"/>
      <c r="M63" s="42"/>
    </row>
    <row r="64" spans="2:19" x14ac:dyDescent="0.25">
      <c r="C64" s="2" t="s">
        <v>252</v>
      </c>
      <c r="E64" s="42"/>
      <c r="G64" s="42">
        <f>ROUND('Sch 6 - Exp Adj'!I46,0)</f>
        <v>-1093</v>
      </c>
      <c r="I64" s="152" t="s">
        <v>253</v>
      </c>
      <c r="K64" s="42"/>
      <c r="M64" s="42"/>
    </row>
    <row r="65" spans="1:20" x14ac:dyDescent="0.25">
      <c r="E65" s="42"/>
      <c r="G65" s="42"/>
      <c r="K65" s="42"/>
      <c r="M65" s="42"/>
      <c r="T65" s="153"/>
    </row>
    <row r="66" spans="1:20" x14ac:dyDescent="0.25">
      <c r="A66" t="str">
        <f>+'Sch 3 - IS'!B68</f>
        <v>Depreciation Expense</v>
      </c>
      <c r="E66" s="42">
        <f>+'Sch 3 - IS'!E68</f>
        <v>15082</v>
      </c>
      <c r="G66" s="42">
        <f>ROUND('Sch 6 - Exp Adj'!I58,0)</f>
        <v>-9301</v>
      </c>
      <c r="I66" s="157" t="s">
        <v>254</v>
      </c>
      <c r="K66" s="42">
        <f>E66+G66</f>
        <v>5781</v>
      </c>
      <c r="M66" s="42"/>
      <c r="Q66" s="42">
        <f>+K66+M66</f>
        <v>5781</v>
      </c>
    </row>
    <row r="67" spans="1:20" hidden="1" x14ac:dyDescent="0.25">
      <c r="A67" t="str">
        <f>+'Sch 3 - IS'!B69</f>
        <v>Amortization Expense</v>
      </c>
      <c r="E67" s="42">
        <f>+'Sch 3 - IS'!E69</f>
        <v>0</v>
      </c>
      <c r="G67" s="42"/>
      <c r="K67" s="42">
        <f>+E67+G67</f>
        <v>0</v>
      </c>
      <c r="M67" s="42"/>
      <c r="Q67" s="42">
        <f>+K67+M67</f>
        <v>0</v>
      </c>
    </row>
    <row r="68" spans="1:20" x14ac:dyDescent="0.25">
      <c r="A68" t="str">
        <f>+'Sch 3 - IS'!A71</f>
        <v>Taxes Other than Income:</v>
      </c>
      <c r="E68" s="42"/>
      <c r="G68" s="42"/>
      <c r="K68" s="42"/>
      <c r="M68" s="42"/>
      <c r="Q68" s="39"/>
    </row>
    <row r="69" spans="1:20" x14ac:dyDescent="0.25">
      <c r="B69" t="str">
        <f>+'Sch 3 - IS'!B72</f>
        <v>Payroll Tax</v>
      </c>
      <c r="E69" s="42">
        <f>ROUND('Sch 3 - IS'!E72,0)</f>
        <v>856</v>
      </c>
      <c r="G69" s="42">
        <f>ROUND('Sch 6 - Exp Adj'!I70,0)</f>
        <v>211</v>
      </c>
      <c r="I69" s="157" t="s">
        <v>255</v>
      </c>
      <c r="K69" s="42">
        <f>G69+E69</f>
        <v>1067</v>
      </c>
      <c r="M69" s="42"/>
      <c r="Q69" s="42">
        <f>+K69+M69</f>
        <v>1067</v>
      </c>
    </row>
    <row r="70" spans="1:20" x14ac:dyDescent="0.25">
      <c r="B70" t="str">
        <f>+'Sch 3 - IS'!B73</f>
        <v>Property Tax</v>
      </c>
      <c r="E70" s="42">
        <f>'Sch 3 - IS'!E73</f>
        <v>1336</v>
      </c>
      <c r="G70" s="42">
        <f>ROUND('Sch 6 - Exp Adj'!I96,0)</f>
        <v>1028</v>
      </c>
      <c r="I70" s="157" t="s">
        <v>256</v>
      </c>
      <c r="K70" s="42">
        <f>+E70+G70</f>
        <v>2364</v>
      </c>
      <c r="M70" s="42"/>
      <c r="Q70" s="42">
        <f>+K70+M70</f>
        <v>2364</v>
      </c>
    </row>
    <row r="71" spans="1:20" hidden="1" x14ac:dyDescent="0.25">
      <c r="B71" t="str">
        <f>+'Sch 3 - IS'!B74</f>
        <v>Other Taxes</v>
      </c>
      <c r="E71" s="42">
        <f>'Sch 3 - IS'!E74</f>
        <v>0</v>
      </c>
      <c r="G71" s="42"/>
      <c r="K71" s="42">
        <f>+E71+G71</f>
        <v>0</v>
      </c>
      <c r="M71" s="42"/>
      <c r="Q71" s="42">
        <f>+K71+M71</f>
        <v>0</v>
      </c>
    </row>
    <row r="72" spans="1:20" ht="8.1" customHeight="1" x14ac:dyDescent="0.25">
      <c r="E72" s="42"/>
      <c r="G72" s="42"/>
      <c r="K72" s="42"/>
      <c r="M72" s="42"/>
      <c r="Q72" s="39"/>
    </row>
    <row r="73" spans="1:20" hidden="1" x14ac:dyDescent="0.25">
      <c r="A73" t="str">
        <f>+'Sch 3 - IS'!A75</f>
        <v>Income Taxes:</v>
      </c>
      <c r="E73" s="42"/>
      <c r="G73" s="42"/>
      <c r="K73" s="42"/>
      <c r="M73" s="42"/>
      <c r="Q73" s="39"/>
    </row>
    <row r="74" spans="1:20" hidden="1" x14ac:dyDescent="0.25">
      <c r="B74" t="str">
        <f>+'Sch 3 - IS'!B76</f>
        <v>State Income Tax</v>
      </c>
      <c r="E74" s="42">
        <f>'Sch 3 - IS'!E76</f>
        <v>0</v>
      </c>
      <c r="G74" s="42">
        <v>0</v>
      </c>
      <c r="K74" s="42">
        <f>+E74+G74</f>
        <v>0</v>
      </c>
      <c r="M74" s="42">
        <f>'Sch 1'!J51</f>
        <v>0</v>
      </c>
      <c r="O74" s="1">
        <v>1</v>
      </c>
      <c r="Q74" s="42">
        <f>+K74+M74</f>
        <v>0</v>
      </c>
    </row>
    <row r="75" spans="1:20" hidden="1" x14ac:dyDescent="0.25">
      <c r="B75" t="str">
        <f>+'Sch 3 - IS'!B77</f>
        <v>Federal Income Tax</v>
      </c>
      <c r="E75" s="42">
        <f>'Sch 3 - IS'!E78</f>
        <v>0</v>
      </c>
      <c r="G75" s="42">
        <v>0</v>
      </c>
      <c r="K75" s="42">
        <f>+E75+G75</f>
        <v>0</v>
      </c>
      <c r="M75" s="42">
        <f>'Sch 1'!J56</f>
        <v>0</v>
      </c>
      <c r="O75" s="1">
        <v>1</v>
      </c>
      <c r="Q75" s="42">
        <f>+K75+M75</f>
        <v>0</v>
      </c>
    </row>
    <row r="76" spans="1:20" x14ac:dyDescent="0.25">
      <c r="C76" t="s">
        <v>96</v>
      </c>
      <c r="E76" s="99">
        <f>SUM(E34:E75)</f>
        <v>91093</v>
      </c>
      <c r="G76" s="99">
        <f>SUM(G34:G75)</f>
        <v>17548</v>
      </c>
      <c r="K76" s="99">
        <f>SUM(K34:K75)</f>
        <v>108641</v>
      </c>
      <c r="M76" s="99">
        <f>SUM(M34:M75)</f>
        <v>13</v>
      </c>
      <c r="Q76" s="99">
        <f>SUM(Q34:Q75)+2</f>
        <v>108656</v>
      </c>
    </row>
    <row r="77" spans="1:20" x14ac:dyDescent="0.25">
      <c r="E77" s="42"/>
      <c r="G77" s="42"/>
      <c r="K77" s="42"/>
      <c r="M77" s="42"/>
    </row>
    <row r="78" spans="1:20" ht="16.5" thickBot="1" x14ac:dyDescent="0.3">
      <c r="A78" t="s">
        <v>97</v>
      </c>
      <c r="E78" s="44">
        <f>+E31-E76</f>
        <v>-9766</v>
      </c>
      <c r="G78" s="44">
        <f>+G31-G76</f>
        <v>4413</v>
      </c>
      <c r="K78" s="44">
        <f>+K31-K76</f>
        <v>-5353</v>
      </c>
      <c r="M78" s="44">
        <f>+M31-M76</f>
        <v>8375</v>
      </c>
      <c r="Q78" s="159">
        <f>+Q31-Q76+2</f>
        <v>3022</v>
      </c>
      <c r="R78" s="42">
        <f>+Q78-'Sch 1'!F15</f>
        <v>0</v>
      </c>
      <c r="S78" s="2" t="s">
        <v>98</v>
      </c>
    </row>
    <row r="79" spans="1:20" ht="16.5" thickTop="1" x14ac:dyDescent="0.25">
      <c r="E79" s="42"/>
      <c r="G79" s="42"/>
      <c r="K79" s="42"/>
      <c r="M79" s="42"/>
      <c r="R79" s="2" t="s">
        <v>257</v>
      </c>
    </row>
    <row r="80" spans="1:20" x14ac:dyDescent="0.25">
      <c r="E80" s="42"/>
      <c r="G80" s="42"/>
      <c r="K80" s="42"/>
      <c r="M80" s="42"/>
    </row>
    <row r="81" spans="7:17" x14ac:dyDescent="0.25">
      <c r="G81" s="42"/>
      <c r="K81" s="42"/>
      <c r="L81" s="101"/>
      <c r="Q81" s="101"/>
    </row>
    <row r="82" spans="7:17" x14ac:dyDescent="0.25">
      <c r="G82" s="42"/>
      <c r="K82" s="42"/>
      <c r="L82" s="101"/>
      <c r="Q82" s="101"/>
    </row>
    <row r="83" spans="7:17" x14ac:dyDescent="0.25">
      <c r="G83" s="42"/>
      <c r="K83" s="42"/>
      <c r="L83" s="101"/>
      <c r="Q83" s="101"/>
    </row>
    <row r="84" spans="7:17" x14ac:dyDescent="0.25">
      <c r="G84" s="42"/>
      <c r="K84" s="42"/>
      <c r="L84" s="101"/>
      <c r="M84" s="101"/>
      <c r="Q84" s="101"/>
    </row>
    <row r="85" spans="7:17" x14ac:dyDescent="0.25">
      <c r="G85" s="42"/>
      <c r="K85" s="42"/>
      <c r="L85" s="101"/>
      <c r="M85" s="101"/>
      <c r="Q85" s="101"/>
    </row>
    <row r="86" spans="7:17" x14ac:dyDescent="0.25">
      <c r="G86" s="42"/>
      <c r="K86" s="42"/>
      <c r="L86" s="101"/>
      <c r="Q86" s="101"/>
    </row>
    <row r="87" spans="7:17" x14ac:dyDescent="0.25">
      <c r="G87" s="42"/>
      <c r="K87" s="42"/>
      <c r="L87" s="101"/>
      <c r="M87" s="101"/>
      <c r="Q87" s="101"/>
    </row>
    <row r="88" spans="7:17" x14ac:dyDescent="0.25">
      <c r="G88" s="42"/>
      <c r="K88" s="42"/>
      <c r="M88" s="101"/>
      <c r="Q88" s="101"/>
    </row>
    <row r="89" spans="7:17" x14ac:dyDescent="0.25">
      <c r="G89" s="42"/>
      <c r="K89" s="42"/>
      <c r="L89" s="101"/>
      <c r="Q89" s="101"/>
    </row>
    <row r="90" spans="7:17" x14ac:dyDescent="0.25">
      <c r="G90" s="42"/>
      <c r="K90" s="42"/>
      <c r="L90" s="101"/>
      <c r="M90" s="101"/>
      <c r="Q90" s="101"/>
    </row>
    <row r="91" spans="7:17" x14ac:dyDescent="0.25">
      <c r="G91" s="42"/>
      <c r="K91" s="42"/>
      <c r="M91" s="101"/>
      <c r="Q91" s="101"/>
    </row>
    <row r="92" spans="7:17" x14ac:dyDescent="0.25">
      <c r="G92" s="42"/>
      <c r="K92" s="42"/>
      <c r="M92" s="42"/>
    </row>
    <row r="93" spans="7:17" x14ac:dyDescent="0.25">
      <c r="G93" s="42"/>
      <c r="K93" s="42"/>
      <c r="M93" s="42"/>
    </row>
    <row r="94" spans="7:17" x14ac:dyDescent="0.25">
      <c r="G94" s="42"/>
      <c r="K94" s="42"/>
      <c r="M94" s="42"/>
    </row>
    <row r="95" spans="7:17" x14ac:dyDescent="0.25">
      <c r="G95" s="42"/>
      <c r="K95" s="42"/>
      <c r="M95" s="42"/>
    </row>
    <row r="96" spans="7:17" x14ac:dyDescent="0.25">
      <c r="G96" s="42"/>
      <c r="K96" s="42"/>
      <c r="M96" s="42"/>
    </row>
    <row r="97" spans="7:13" x14ac:dyDescent="0.25">
      <c r="G97" s="42"/>
      <c r="K97" s="42"/>
      <c r="M97" s="42"/>
    </row>
    <row r="98" spans="7:13" x14ac:dyDescent="0.25">
      <c r="G98" s="42"/>
      <c r="K98" s="42"/>
      <c r="M98" s="42"/>
    </row>
    <row r="99" spans="7:13" x14ac:dyDescent="0.25">
      <c r="G99" s="42"/>
      <c r="K99" s="42"/>
      <c r="M99" s="42"/>
    </row>
    <row r="100" spans="7:13" x14ac:dyDescent="0.25">
      <c r="G100" s="42"/>
      <c r="K100" s="42"/>
      <c r="M100" s="42"/>
    </row>
    <row r="101" spans="7:13" x14ac:dyDescent="0.25">
      <c r="G101" s="42"/>
      <c r="K101" s="42"/>
      <c r="M101" s="42"/>
    </row>
    <row r="102" spans="7:13" x14ac:dyDescent="0.25">
      <c r="G102" s="42"/>
      <c r="K102" s="42"/>
      <c r="M102" s="42"/>
    </row>
    <row r="103" spans="7:13" x14ac:dyDescent="0.25">
      <c r="G103" s="42"/>
      <c r="K103" s="42"/>
      <c r="M103" s="42"/>
    </row>
    <row r="104" spans="7:13" x14ac:dyDescent="0.25">
      <c r="G104" s="42"/>
      <c r="K104" s="42"/>
      <c r="M104" s="42"/>
    </row>
    <row r="105" spans="7:13" x14ac:dyDescent="0.25">
      <c r="G105" s="42"/>
      <c r="K105" s="42"/>
      <c r="M105" s="42"/>
    </row>
    <row r="106" spans="7:13" x14ac:dyDescent="0.25">
      <c r="G106" s="42"/>
      <c r="K106" s="42"/>
      <c r="M106" s="42"/>
    </row>
    <row r="107" spans="7:13" x14ac:dyDescent="0.25">
      <c r="G107" s="42"/>
      <c r="K107" s="42"/>
      <c r="M107" s="42"/>
    </row>
    <row r="108" spans="7:13" x14ac:dyDescent="0.25">
      <c r="G108" s="42"/>
      <c r="K108" s="42"/>
      <c r="M108" s="42"/>
    </row>
    <row r="109" spans="7:13" x14ac:dyDescent="0.25">
      <c r="G109" s="42"/>
      <c r="K109" s="42"/>
      <c r="M109" s="42"/>
    </row>
    <row r="110" spans="7:13" x14ac:dyDescent="0.25">
      <c r="K110" s="42"/>
      <c r="M110" s="42"/>
    </row>
    <row r="111" spans="7:13" x14ac:dyDescent="0.25">
      <c r="K111" s="42"/>
      <c r="M111" s="42"/>
    </row>
    <row r="112" spans="7:13" x14ac:dyDescent="0.25">
      <c r="K112" s="42"/>
      <c r="M112" s="42"/>
    </row>
    <row r="113" spans="11:13" x14ac:dyDescent="0.25">
      <c r="K113" s="42"/>
      <c r="M113" s="42"/>
    </row>
    <row r="114" spans="11:13" x14ac:dyDescent="0.25">
      <c r="K114" s="42"/>
      <c r="M114" s="42"/>
    </row>
    <row r="115" spans="11:13" x14ac:dyDescent="0.25">
      <c r="K115" s="42"/>
      <c r="M115" s="42"/>
    </row>
    <row r="116" spans="11:13" x14ac:dyDescent="0.25">
      <c r="K116" s="42"/>
      <c r="M116" s="42"/>
    </row>
    <row r="117" spans="11:13" x14ac:dyDescent="0.25">
      <c r="K117" s="42"/>
      <c r="M117" s="42"/>
    </row>
    <row r="118" spans="11:13" x14ac:dyDescent="0.25">
      <c r="K118" s="42"/>
      <c r="M118" s="42"/>
    </row>
    <row r="119" spans="11:13" x14ac:dyDescent="0.25">
      <c r="K119" s="42"/>
      <c r="M119" s="42"/>
    </row>
    <row r="120" spans="11:13" x14ac:dyDescent="0.25">
      <c r="K120" s="42"/>
      <c r="M120" s="42"/>
    </row>
    <row r="121" spans="11:13" x14ac:dyDescent="0.25">
      <c r="K121" s="42"/>
      <c r="M121" s="42"/>
    </row>
    <row r="122" spans="11:13" x14ac:dyDescent="0.25">
      <c r="K122" s="42"/>
      <c r="M122" s="42"/>
    </row>
    <row r="123" spans="11:13" x14ac:dyDescent="0.25">
      <c r="K123" s="42"/>
      <c r="M123" s="42"/>
    </row>
    <row r="124" spans="11:13" x14ac:dyDescent="0.25">
      <c r="K124" s="42"/>
    </row>
    <row r="125" spans="11:13" x14ac:dyDescent="0.25">
      <c r="K125" s="42"/>
    </row>
    <row r="126" spans="11:13" x14ac:dyDescent="0.25">
      <c r="K126" s="42"/>
    </row>
    <row r="127" spans="11:13" x14ac:dyDescent="0.25">
      <c r="K127" s="42"/>
    </row>
    <row r="128" spans="11:13" x14ac:dyDescent="0.25">
      <c r="K128" s="42"/>
    </row>
    <row r="129" spans="11:11" x14ac:dyDescent="0.25">
      <c r="K129" s="42"/>
    </row>
    <row r="130" spans="11:11" x14ac:dyDescent="0.25">
      <c r="K130" s="42"/>
    </row>
    <row r="131" spans="11:11" x14ac:dyDescent="0.25">
      <c r="K131" s="42"/>
    </row>
    <row r="132" spans="11:11" x14ac:dyDescent="0.25">
      <c r="K132" s="42"/>
    </row>
    <row r="133" spans="11:11" x14ac:dyDescent="0.25">
      <c r="K133" s="42"/>
    </row>
    <row r="134" spans="11:11" x14ac:dyDescent="0.25">
      <c r="K134" s="42"/>
    </row>
    <row r="135" spans="11:11" x14ac:dyDescent="0.25">
      <c r="K135" s="42"/>
    </row>
    <row r="136" spans="11:11" x14ac:dyDescent="0.25">
      <c r="K136" s="42"/>
    </row>
    <row r="137" spans="11:11" x14ac:dyDescent="0.25">
      <c r="K137" s="42"/>
    </row>
  </sheetData>
  <mergeCells count="3">
    <mergeCell ref="A4:Q4"/>
    <mergeCell ref="A5:Q5"/>
    <mergeCell ref="A7:Q7"/>
  </mergeCells>
  <phoneticPr fontId="7" type="noConversion"/>
  <printOptions horizontalCentered="1"/>
  <pageMargins left="0.25" right="0.25" top="0.5" bottom="0.5" header="0.5" footer="0.5"/>
  <pageSetup scale="89" orientation="portrait" verticalDpi="300" r:id="rId1"/>
  <headerFooter alignWithMargins="0"/>
  <ignoredErrors>
    <ignoredError sqref="M6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24"/>
  </sheetPr>
  <dimension ref="A1:I40"/>
  <sheetViews>
    <sheetView view="pageBreakPreview" topLeftCell="A18" zoomScale="145" zoomScaleNormal="125" zoomScaleSheetLayoutView="145" workbookViewId="0">
      <selection activeCell="G17" sqref="G17"/>
    </sheetView>
  </sheetViews>
  <sheetFormatPr defaultRowHeight="15.75" x14ac:dyDescent="0.25"/>
  <cols>
    <col min="6" max="6" width="12.5" bestFit="1" customWidth="1"/>
    <col min="9" max="9" width="9.875" bestFit="1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12" t="str">
        <f>+'Sch 1'!J1</f>
        <v>OUCC</v>
      </c>
    </row>
    <row r="2" spans="1:9" x14ac:dyDescent="0.25">
      <c r="A2" s="2"/>
      <c r="B2" s="2"/>
      <c r="C2" s="2"/>
      <c r="D2" s="2"/>
      <c r="E2" s="2"/>
      <c r="F2" s="2"/>
      <c r="G2" s="2"/>
      <c r="H2" s="2"/>
      <c r="I2" s="12" t="s">
        <v>258</v>
      </c>
    </row>
    <row r="3" spans="1:9" x14ac:dyDescent="0.25">
      <c r="A3" s="2"/>
      <c r="B3" s="2"/>
      <c r="C3" s="2"/>
      <c r="D3" s="2"/>
      <c r="E3" s="2"/>
      <c r="F3" s="2"/>
      <c r="G3" s="2"/>
      <c r="H3" s="2"/>
      <c r="I3" s="12" t="s">
        <v>101</v>
      </c>
    </row>
    <row r="4" spans="1:9" ht="20.25" x14ac:dyDescent="0.3">
      <c r="A4" s="211" t="str">
        <f>+Inputs!$C$5</f>
        <v>Pleasantview Wastewater</v>
      </c>
      <c r="B4" s="211"/>
      <c r="C4" s="211"/>
      <c r="D4" s="211"/>
      <c r="E4" s="211"/>
      <c r="F4" s="211"/>
      <c r="G4" s="211"/>
      <c r="H4" s="211"/>
      <c r="I4" s="211"/>
    </row>
    <row r="5" spans="1:9" ht="18.75" x14ac:dyDescent="0.3">
      <c r="A5" s="207" t="str">
        <f>"CAUSE NUMBER "&amp;+Inputs!$C$6</f>
        <v>CAUSE NUMBER 46122-U</v>
      </c>
      <c r="B5" s="207"/>
      <c r="C5" s="207"/>
      <c r="D5" s="207"/>
      <c r="E5" s="207"/>
      <c r="F5" s="207"/>
      <c r="G5" s="207"/>
      <c r="H5" s="207"/>
      <c r="I5" s="207"/>
    </row>
    <row r="6" spans="1:9" x14ac:dyDescent="0.25">
      <c r="A6" s="188"/>
      <c r="B6" s="188"/>
      <c r="C6" s="188"/>
      <c r="D6" s="188"/>
      <c r="E6" s="188"/>
      <c r="F6" s="188"/>
      <c r="G6" s="188"/>
      <c r="H6" s="188"/>
      <c r="I6" s="188"/>
    </row>
    <row r="7" spans="1:9" x14ac:dyDescent="0.25">
      <c r="A7" s="209" t="s">
        <v>259</v>
      </c>
      <c r="B7" s="209"/>
      <c r="C7" s="209"/>
      <c r="D7" s="209"/>
      <c r="E7" s="209"/>
      <c r="F7" s="209"/>
      <c r="G7" s="209"/>
      <c r="H7" s="209"/>
      <c r="I7" s="209"/>
    </row>
    <row r="9" spans="1:9" x14ac:dyDescent="0.25">
      <c r="A9" s="217" t="s">
        <v>260</v>
      </c>
      <c r="B9" s="217"/>
      <c r="C9" s="217"/>
      <c r="D9" s="217"/>
      <c r="E9" s="217"/>
      <c r="F9" s="217"/>
      <c r="G9" s="217"/>
      <c r="H9" s="217"/>
      <c r="I9" s="217"/>
    </row>
    <row r="10" spans="1:9" s="62" customFormat="1" x14ac:dyDescent="0.25">
      <c r="A10" s="215" t="s">
        <v>74</v>
      </c>
      <c r="B10" s="218"/>
      <c r="C10" s="218"/>
      <c r="D10" s="218"/>
      <c r="E10" s="218"/>
      <c r="F10" s="218"/>
      <c r="G10" s="218"/>
      <c r="H10" s="218"/>
      <c r="I10" s="218"/>
    </row>
    <row r="11" spans="1:9" s="62" customFormat="1" x14ac:dyDescent="0.25">
      <c r="A11" s="219" t="s">
        <v>261</v>
      </c>
      <c r="B11" s="215"/>
      <c r="C11" s="215"/>
      <c r="D11" s="215"/>
      <c r="E11" s="215"/>
      <c r="F11" s="215"/>
      <c r="G11" s="215"/>
      <c r="H11" s="215"/>
      <c r="I11" s="215"/>
    </row>
    <row r="12" spans="1:9" s="62" customFormat="1" x14ac:dyDescent="0.25">
      <c r="A12"/>
      <c r="B12"/>
      <c r="C12"/>
      <c r="D12"/>
      <c r="E12"/>
      <c r="F12"/>
      <c r="G12"/>
      <c r="H12"/>
      <c r="I12"/>
    </row>
    <row r="13" spans="1:9" s="62" customFormat="1" x14ac:dyDescent="0.25">
      <c r="A13"/>
      <c r="B13" t="s">
        <v>262</v>
      </c>
      <c r="C13"/>
      <c r="D13"/>
      <c r="E13"/>
      <c r="F13" s="84">
        <v>177395.38000000003</v>
      </c>
      <c r="G13"/>
      <c r="H13"/>
      <c r="I13"/>
    </row>
    <row r="14" spans="1:9" s="62" customFormat="1" x14ac:dyDescent="0.25">
      <c r="A14"/>
      <c r="B14" t="s">
        <v>263</v>
      </c>
      <c r="C14"/>
      <c r="D14"/>
      <c r="E14"/>
      <c r="F14" s="96">
        <v>4880.945713000001</v>
      </c>
      <c r="G14"/>
      <c r="H14"/>
      <c r="I14"/>
    </row>
    <row r="15" spans="1:9" ht="16.5" thickBot="1" x14ac:dyDescent="0.3">
      <c r="B15" t="s">
        <v>264</v>
      </c>
      <c r="F15" s="89">
        <v>172514.43428700004</v>
      </c>
    </row>
    <row r="16" spans="1:9" ht="16.5" thickTop="1" x14ac:dyDescent="0.25"/>
    <row r="17" spans="1:9" x14ac:dyDescent="0.25">
      <c r="B17" t="s">
        <v>265</v>
      </c>
      <c r="F17" s="85">
        <v>69727.795899999968</v>
      </c>
    </row>
    <row r="18" spans="1:9" x14ac:dyDescent="0.25">
      <c r="B18" t="s">
        <v>266</v>
      </c>
      <c r="F18" s="94">
        <v>103096.53000000026</v>
      </c>
    </row>
    <row r="19" spans="1:9" ht="16.5" thickBot="1" x14ac:dyDescent="0.3">
      <c r="B19" t="s">
        <v>267</v>
      </c>
      <c r="F19" s="90">
        <v>172824.32590000023</v>
      </c>
    </row>
    <row r="20" spans="1:9" ht="16.5" thickTop="1" x14ac:dyDescent="0.25"/>
    <row r="21" spans="1:9" x14ac:dyDescent="0.25">
      <c r="B21" s="2" t="s">
        <v>268</v>
      </c>
      <c r="F21" s="58">
        <f>F18/F19</f>
        <v>0.59653945972660161</v>
      </c>
    </row>
    <row r="22" spans="1:9" x14ac:dyDescent="0.25">
      <c r="F22" s="58"/>
    </row>
    <row r="23" spans="1:9" x14ac:dyDescent="0.25">
      <c r="B23" s="2" t="s">
        <v>269</v>
      </c>
      <c r="F23" s="85">
        <f>F21*F15</f>
        <v>102911.66742460732</v>
      </c>
    </row>
    <row r="24" spans="1:9" x14ac:dyDescent="0.25">
      <c r="B24" s="2" t="s">
        <v>270</v>
      </c>
      <c r="F24" s="97">
        <f>'Sch 4'!E14</f>
        <v>81327</v>
      </c>
    </row>
    <row r="26" spans="1:9" ht="16.5" thickBot="1" x14ac:dyDescent="0.3">
      <c r="E26" s="13" t="s">
        <v>271</v>
      </c>
      <c r="I26" s="86">
        <f>F23-F24</f>
        <v>21584.667424607323</v>
      </c>
    </row>
    <row r="27" spans="1:9" ht="16.5" thickTop="1" x14ac:dyDescent="0.25"/>
    <row r="28" spans="1:9" x14ac:dyDescent="0.25">
      <c r="A28" s="217" t="s">
        <v>272</v>
      </c>
      <c r="B28" s="217"/>
      <c r="C28" s="217"/>
      <c r="D28" s="217"/>
      <c r="E28" s="217"/>
      <c r="F28" s="217"/>
      <c r="G28" s="217"/>
      <c r="H28" s="217"/>
      <c r="I28" s="217"/>
    </row>
    <row r="29" spans="1:9" x14ac:dyDescent="0.25">
      <c r="A29" s="215" t="s">
        <v>273</v>
      </c>
      <c r="B29" s="218"/>
      <c r="C29" s="218"/>
      <c r="D29" s="218"/>
      <c r="E29" s="218"/>
      <c r="F29" s="218"/>
      <c r="G29" s="218"/>
      <c r="H29" s="218"/>
      <c r="I29" s="218"/>
    </row>
    <row r="30" spans="1:9" x14ac:dyDescent="0.25">
      <c r="A30" s="219" t="s">
        <v>274</v>
      </c>
      <c r="B30" s="215"/>
      <c r="C30" s="215"/>
      <c r="D30" s="215"/>
      <c r="E30" s="215"/>
      <c r="F30" s="215"/>
      <c r="G30" s="215"/>
      <c r="H30" s="215"/>
      <c r="I30" s="215"/>
    </row>
    <row r="32" spans="1:9" x14ac:dyDescent="0.25">
      <c r="B32" s="2" t="s">
        <v>275</v>
      </c>
      <c r="F32" s="22">
        <f>'Sch 4'!E14+'Sch 4'!G15</f>
        <v>102912</v>
      </c>
    </row>
    <row r="33" spans="2:9" x14ac:dyDescent="0.25">
      <c r="B33" s="2" t="s">
        <v>276</v>
      </c>
      <c r="F33" s="20">
        <v>2463</v>
      </c>
    </row>
    <row r="34" spans="2:9" x14ac:dyDescent="0.25">
      <c r="B34" s="2" t="s">
        <v>277</v>
      </c>
      <c r="F34" s="161">
        <f>F32/F33</f>
        <v>41.783191230207066</v>
      </c>
    </row>
    <row r="35" spans="2:9" ht="6" customHeight="1" x14ac:dyDescent="0.25"/>
    <row r="36" spans="2:9" x14ac:dyDescent="0.25">
      <c r="B36" s="2" t="s">
        <v>278</v>
      </c>
      <c r="F36">
        <v>9</v>
      </c>
    </row>
    <row r="37" spans="2:9" x14ac:dyDescent="0.25">
      <c r="B37" s="2" t="s">
        <v>279</v>
      </c>
      <c r="F37" s="87">
        <f>F34</f>
        <v>41.783191230207066</v>
      </c>
    </row>
    <row r="39" spans="2:9" ht="16.5" thickBot="1" x14ac:dyDescent="0.3">
      <c r="E39" s="13" t="s">
        <v>271</v>
      </c>
      <c r="I39" s="86">
        <f>F36*F37</f>
        <v>376.04872107186361</v>
      </c>
    </row>
    <row r="40" spans="2:9" ht="16.5" thickTop="1" x14ac:dyDescent="0.25"/>
  </sheetData>
  <mergeCells count="9">
    <mergeCell ref="A28:I28"/>
    <mergeCell ref="A29:I29"/>
    <mergeCell ref="A30:I30"/>
    <mergeCell ref="A10:I10"/>
    <mergeCell ref="A4:I4"/>
    <mergeCell ref="A5:I5"/>
    <mergeCell ref="A7:I7"/>
    <mergeCell ref="A9:I9"/>
    <mergeCell ref="A11:I11"/>
  </mergeCells>
  <phoneticPr fontId="7" type="noConversion"/>
  <pageMargins left="0.75" right="0.75" top="1" bottom="1" header="0.5" footer="0.5"/>
  <pageSetup scale="98" orientation="portrait" horizontalDpi="90" verticalDpi="9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29"/>
    <pageSetUpPr fitToPage="1"/>
  </sheetPr>
  <dimension ref="A1:I109"/>
  <sheetViews>
    <sheetView view="pageBreakPreview" topLeftCell="A62" zoomScaleNormal="100" zoomScaleSheetLayoutView="100" workbookViewId="0">
      <selection activeCell="F80" sqref="F80"/>
    </sheetView>
  </sheetViews>
  <sheetFormatPr defaultRowHeight="15.75" x14ac:dyDescent="0.25"/>
  <cols>
    <col min="3" max="3" width="10.625" customWidth="1"/>
    <col min="4" max="4" width="10.5" customWidth="1"/>
    <col min="5" max="5" width="9.875" customWidth="1"/>
    <col min="6" max="6" width="12.875" bestFit="1" customWidth="1"/>
    <col min="7" max="7" width="10.375" customWidth="1"/>
    <col min="8" max="8" width="11" customWidth="1"/>
    <col min="9" max="9" width="10.25" customWidth="1"/>
    <col min="17" max="17" width="9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12" t="str">
        <f>+'Sch 1'!J1</f>
        <v>OUCC</v>
      </c>
    </row>
    <row r="2" spans="1:9" x14ac:dyDescent="0.25">
      <c r="A2" s="2"/>
      <c r="B2" s="2"/>
      <c r="C2" s="2"/>
      <c r="D2" s="2"/>
      <c r="E2" s="2"/>
      <c r="F2" s="2"/>
      <c r="G2" s="2"/>
      <c r="H2" s="2"/>
      <c r="I2" s="12" t="s">
        <v>280</v>
      </c>
    </row>
    <row r="3" spans="1:9" x14ac:dyDescent="0.25">
      <c r="A3" s="2"/>
      <c r="B3" s="2"/>
      <c r="C3" s="2"/>
      <c r="D3" s="2"/>
      <c r="E3" s="2"/>
      <c r="F3" s="2"/>
      <c r="G3" s="2"/>
      <c r="H3" s="2"/>
      <c r="I3" s="12" t="s">
        <v>42</v>
      </c>
    </row>
    <row r="4" spans="1:9" s="16" customFormat="1" ht="20.25" x14ac:dyDescent="0.3">
      <c r="A4" s="211" t="str">
        <f>+Inputs!$C$5</f>
        <v>Pleasantview Wastewater</v>
      </c>
      <c r="B4" s="211"/>
      <c r="C4" s="211"/>
      <c r="D4" s="211"/>
      <c r="E4" s="211"/>
      <c r="F4" s="211"/>
      <c r="G4" s="211"/>
      <c r="H4" s="211"/>
      <c r="I4" s="211"/>
    </row>
    <row r="5" spans="1:9" s="16" customFormat="1" ht="18.75" x14ac:dyDescent="0.3">
      <c r="A5" s="207" t="str">
        <f>"CAUSE NUMBER "&amp;+Inputs!$C$6</f>
        <v>CAUSE NUMBER 46122-U</v>
      </c>
      <c r="B5" s="207"/>
      <c r="C5" s="207"/>
      <c r="D5" s="207"/>
      <c r="E5" s="207"/>
      <c r="F5" s="207"/>
      <c r="G5" s="207"/>
      <c r="H5" s="207"/>
      <c r="I5" s="207"/>
    </row>
    <row r="6" spans="1:9" x14ac:dyDescent="0.25">
      <c r="A6" s="188"/>
      <c r="B6" s="188"/>
      <c r="C6" s="188"/>
      <c r="D6" s="188"/>
      <c r="E6" s="188"/>
      <c r="F6" s="188"/>
      <c r="G6" s="188"/>
      <c r="H6" s="188"/>
      <c r="I6" s="188"/>
    </row>
    <row r="7" spans="1:9" x14ac:dyDescent="0.25">
      <c r="A7" s="209" t="s">
        <v>281</v>
      </c>
      <c r="B7" s="209"/>
      <c r="C7" s="209"/>
      <c r="D7" s="209"/>
      <c r="E7" s="209"/>
      <c r="F7" s="209"/>
      <c r="G7" s="209"/>
      <c r="H7" s="209"/>
      <c r="I7" s="209"/>
    </row>
    <row r="9" spans="1:9" s="62" customFormat="1" x14ac:dyDescent="0.25">
      <c r="A9" s="217" t="s">
        <v>260</v>
      </c>
      <c r="B9" s="217"/>
      <c r="C9" s="217"/>
      <c r="D9" s="217"/>
      <c r="E9" s="217"/>
      <c r="F9" s="217"/>
      <c r="G9" s="217"/>
      <c r="H9" s="217"/>
      <c r="I9" s="217"/>
    </row>
    <row r="10" spans="1:9" s="62" customFormat="1" x14ac:dyDescent="0.25">
      <c r="A10" s="215" t="s">
        <v>282</v>
      </c>
      <c r="B10" s="218"/>
      <c r="C10" s="218"/>
      <c r="D10" s="218"/>
      <c r="E10" s="218"/>
      <c r="F10" s="218"/>
      <c r="G10" s="218"/>
      <c r="H10" s="218"/>
      <c r="I10" s="218"/>
    </row>
    <row r="11" spans="1:9" s="62" customFormat="1" x14ac:dyDescent="0.25">
      <c r="A11" s="219" t="s">
        <v>283</v>
      </c>
      <c r="B11" s="213"/>
      <c r="C11" s="213"/>
      <c r="D11" s="213"/>
      <c r="E11" s="213"/>
      <c r="F11" s="213"/>
      <c r="G11" s="213"/>
      <c r="H11" s="213"/>
      <c r="I11" s="213"/>
    </row>
    <row r="12" spans="1:9" s="62" customFormat="1" x14ac:dyDescent="0.25">
      <c r="A12"/>
      <c r="B12"/>
      <c r="C12"/>
      <c r="D12"/>
      <c r="E12"/>
      <c r="F12"/>
      <c r="G12"/>
      <c r="H12"/>
      <c r="I12"/>
    </row>
    <row r="13" spans="1:9" s="62" customFormat="1" x14ac:dyDescent="0.25">
      <c r="A13"/>
      <c r="B13" s="2" t="s">
        <v>284</v>
      </c>
      <c r="C13"/>
      <c r="D13"/>
      <c r="E13"/>
      <c r="F13" s="41">
        <v>1950</v>
      </c>
      <c r="G13"/>
      <c r="H13"/>
      <c r="I13"/>
    </row>
    <row r="14" spans="1:9" s="62" customFormat="1" x14ac:dyDescent="0.25">
      <c r="A14"/>
      <c r="B14" s="2" t="s">
        <v>285</v>
      </c>
      <c r="C14"/>
      <c r="D14"/>
      <c r="E14"/>
      <c r="F14" s="98">
        <f>'Sch 4'!E34</f>
        <v>1002</v>
      </c>
      <c r="G14"/>
      <c r="H14"/>
      <c r="I14"/>
    </row>
    <row r="16" spans="1:9" ht="16.5" thickBot="1" x14ac:dyDescent="0.3">
      <c r="E16" s="13" t="s">
        <v>271</v>
      </c>
      <c r="I16" s="86">
        <f>F13-F14</f>
        <v>948</v>
      </c>
    </row>
    <row r="17" spans="1:9" ht="16.5" thickTop="1" x14ac:dyDescent="0.25"/>
    <row r="18" spans="1:9" x14ac:dyDescent="0.25">
      <c r="A18" s="217" t="s">
        <v>272</v>
      </c>
      <c r="B18" s="217"/>
      <c r="C18" s="217"/>
      <c r="D18" s="217"/>
      <c r="E18" s="217"/>
      <c r="F18" s="217"/>
      <c r="G18" s="217"/>
      <c r="H18" s="217"/>
      <c r="I18" s="217"/>
    </row>
    <row r="19" spans="1:9" x14ac:dyDescent="0.25">
      <c r="A19" s="215" t="s">
        <v>286</v>
      </c>
      <c r="B19" s="218"/>
      <c r="C19" s="218"/>
      <c r="D19" s="218"/>
      <c r="E19" s="218"/>
      <c r="F19" s="218"/>
      <c r="G19" s="218"/>
      <c r="H19" s="218"/>
      <c r="I19" s="218"/>
    </row>
    <row r="20" spans="1:9" x14ac:dyDescent="0.25">
      <c r="A20" s="219" t="s">
        <v>287</v>
      </c>
      <c r="B20" s="213"/>
      <c r="C20" s="213"/>
      <c r="D20" s="213"/>
      <c r="E20" s="213"/>
      <c r="F20" s="213"/>
      <c r="G20" s="213"/>
      <c r="H20" s="213"/>
      <c r="I20" s="213"/>
    </row>
    <row r="22" spans="1:9" x14ac:dyDescent="0.25">
      <c r="B22" s="2" t="s">
        <v>284</v>
      </c>
      <c r="F22" s="41">
        <v>12000</v>
      </c>
    </row>
    <row r="23" spans="1:9" x14ac:dyDescent="0.25">
      <c r="B23" s="2" t="s">
        <v>285</v>
      </c>
      <c r="F23" s="98">
        <f>'Sch 4'!E35</f>
        <v>8392</v>
      </c>
    </row>
    <row r="25" spans="1:9" ht="16.5" thickBot="1" x14ac:dyDescent="0.3">
      <c r="E25" s="13" t="s">
        <v>271</v>
      </c>
      <c r="I25" s="86">
        <f>F22-F23</f>
        <v>3608</v>
      </c>
    </row>
    <row r="26" spans="1:9" ht="16.5" thickTop="1" x14ac:dyDescent="0.25"/>
    <row r="27" spans="1:9" x14ac:dyDescent="0.25">
      <c r="A27" s="2"/>
      <c r="B27" s="2"/>
      <c r="C27" s="2"/>
      <c r="D27" s="2"/>
      <c r="E27" s="2"/>
      <c r="F27" s="2"/>
      <c r="G27" s="2"/>
      <c r="H27" s="2"/>
      <c r="I27" s="12" t="str">
        <f>I1</f>
        <v>OUCC</v>
      </c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12" t="s">
        <v>280</v>
      </c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12" t="s">
        <v>60</v>
      </c>
    </row>
    <row r="30" spans="1:9" x14ac:dyDescent="0.25">
      <c r="A30" s="217" t="s">
        <v>288</v>
      </c>
      <c r="B30" s="217"/>
      <c r="C30" s="217"/>
      <c r="D30" s="217"/>
      <c r="E30" s="217"/>
      <c r="F30" s="217"/>
      <c r="G30" s="217"/>
      <c r="H30" s="217"/>
      <c r="I30" s="217"/>
    </row>
    <row r="31" spans="1:9" x14ac:dyDescent="0.25">
      <c r="A31" s="215" t="s">
        <v>252</v>
      </c>
      <c r="B31" s="218"/>
      <c r="C31" s="218"/>
      <c r="D31" s="218"/>
      <c r="E31" s="218"/>
      <c r="F31" s="218"/>
      <c r="G31" s="218"/>
      <c r="H31" s="218"/>
      <c r="I31" s="218"/>
    </row>
    <row r="32" spans="1:9" x14ac:dyDescent="0.25">
      <c r="A32" s="219" t="s">
        <v>289</v>
      </c>
      <c r="B32" s="213"/>
      <c r="C32" s="213"/>
      <c r="D32" s="213"/>
      <c r="E32" s="213"/>
      <c r="F32" s="213"/>
      <c r="G32" s="213"/>
      <c r="H32" s="213"/>
      <c r="I32" s="213"/>
    </row>
    <row r="34" spans="1:9" x14ac:dyDescent="0.25">
      <c r="B34" s="2" t="s">
        <v>290</v>
      </c>
      <c r="F34" s="84">
        <v>65.290000000000006</v>
      </c>
    </row>
    <row r="35" spans="1:9" x14ac:dyDescent="0.25">
      <c r="B35" s="2" t="s">
        <v>291</v>
      </c>
      <c r="F35" s="96">
        <v>19</v>
      </c>
    </row>
    <row r="36" spans="1:9" x14ac:dyDescent="0.25">
      <c r="B36" s="2" t="s">
        <v>292</v>
      </c>
      <c r="F36" s="94">
        <v>25</v>
      </c>
    </row>
    <row r="37" spans="1:9" ht="3.95" customHeight="1" x14ac:dyDescent="0.25">
      <c r="F37" s="27"/>
    </row>
    <row r="38" spans="1:9" x14ac:dyDescent="0.25">
      <c r="B38" s="2" t="s">
        <v>293</v>
      </c>
      <c r="G38" s="88">
        <f>SUM(F34:F36)</f>
        <v>109.29</v>
      </c>
    </row>
    <row r="39" spans="1:9" x14ac:dyDescent="0.25">
      <c r="B39" s="2" t="s">
        <v>294</v>
      </c>
      <c r="G39" s="20">
        <v>12</v>
      </c>
    </row>
    <row r="40" spans="1:9" x14ac:dyDescent="0.25">
      <c r="B40" s="2" t="s">
        <v>295</v>
      </c>
      <c r="G40" s="69">
        <f>G38*G39</f>
        <v>1311.48</v>
      </c>
    </row>
    <row r="41" spans="1:9" x14ac:dyDescent="0.25">
      <c r="B41" s="2" t="s">
        <v>296</v>
      </c>
      <c r="G41" s="52">
        <v>2</v>
      </c>
    </row>
    <row r="42" spans="1:9" ht="4.5" customHeight="1" x14ac:dyDescent="0.25"/>
    <row r="43" spans="1:9" x14ac:dyDescent="0.25">
      <c r="B43" s="2" t="s">
        <v>297</v>
      </c>
      <c r="H43" s="92">
        <f>G40/G41</f>
        <v>655.74</v>
      </c>
    </row>
    <row r="44" spans="1:9" x14ac:dyDescent="0.25">
      <c r="B44" s="2" t="s">
        <v>298</v>
      </c>
      <c r="H44" s="97">
        <f>1748.5</f>
        <v>1748.5</v>
      </c>
    </row>
    <row r="46" spans="1:9" ht="16.5" thickBot="1" x14ac:dyDescent="0.3">
      <c r="E46" s="13" t="s">
        <v>271</v>
      </c>
      <c r="I46" s="86">
        <f>ROUND(H43-H44,0)</f>
        <v>-1093</v>
      </c>
    </row>
    <row r="47" spans="1:9" ht="16.5" thickTop="1" x14ac:dyDescent="0.25"/>
    <row r="48" spans="1:9" x14ac:dyDescent="0.25">
      <c r="A48" s="217" t="s">
        <v>299</v>
      </c>
      <c r="B48" s="217"/>
      <c r="C48" s="217"/>
      <c r="D48" s="217"/>
      <c r="E48" s="217"/>
      <c r="F48" s="217"/>
      <c r="G48" s="217"/>
      <c r="H48" s="217"/>
      <c r="I48" s="217"/>
    </row>
    <row r="49" spans="1:9" x14ac:dyDescent="0.25">
      <c r="A49" s="215" t="s">
        <v>89</v>
      </c>
      <c r="B49" s="218"/>
      <c r="C49" s="218"/>
      <c r="D49" s="218"/>
      <c r="E49" s="218"/>
      <c r="F49" s="218"/>
      <c r="G49" s="218"/>
      <c r="H49" s="218"/>
      <c r="I49" s="218"/>
    </row>
    <row r="50" spans="1:9" x14ac:dyDescent="0.25">
      <c r="A50" s="219" t="s">
        <v>300</v>
      </c>
      <c r="B50" s="213"/>
      <c r="C50" s="213"/>
      <c r="D50" s="213"/>
      <c r="E50" s="213"/>
      <c r="F50" s="213"/>
      <c r="G50" s="213"/>
      <c r="H50" s="213"/>
      <c r="I50" s="213"/>
    </row>
    <row r="52" spans="1:9" x14ac:dyDescent="0.25">
      <c r="B52" s="2" t="s">
        <v>301</v>
      </c>
      <c r="F52" s="22">
        <f>'Sch 7 - Rate Base'!G27</f>
        <v>231242</v>
      </c>
    </row>
    <row r="53" spans="1:9" x14ac:dyDescent="0.25">
      <c r="B53" s="2" t="s">
        <v>302</v>
      </c>
      <c r="F53" s="162">
        <v>2.5000000000000001E-2</v>
      </c>
    </row>
    <row r="54" spans="1:9" ht="3.6" customHeight="1" x14ac:dyDescent="0.25"/>
    <row r="55" spans="1:9" x14ac:dyDescent="0.25">
      <c r="B55" s="2" t="s">
        <v>303</v>
      </c>
      <c r="G55" s="53">
        <f>ROUND(F52*F53,0)</f>
        <v>5781</v>
      </c>
    </row>
    <row r="56" spans="1:9" x14ac:dyDescent="0.25">
      <c r="B56" s="2" t="s">
        <v>304</v>
      </c>
      <c r="G56" s="63">
        <f>'Sch 4'!E66</f>
        <v>15082</v>
      </c>
    </row>
    <row r="58" spans="1:9" ht="16.5" thickBot="1" x14ac:dyDescent="0.3">
      <c r="E58" s="13" t="s">
        <v>271</v>
      </c>
      <c r="I58" s="86">
        <f>G55-G56</f>
        <v>-9301</v>
      </c>
    </row>
    <row r="59" spans="1:9" ht="16.5" thickTop="1" x14ac:dyDescent="0.25"/>
    <row r="60" spans="1:9" x14ac:dyDescent="0.25">
      <c r="A60" s="217" t="s">
        <v>305</v>
      </c>
      <c r="B60" s="217"/>
      <c r="C60" s="217"/>
      <c r="D60" s="217"/>
      <c r="E60" s="217"/>
      <c r="F60" s="217"/>
      <c r="G60" s="217"/>
      <c r="H60" s="217"/>
      <c r="I60" s="217"/>
    </row>
    <row r="61" spans="1:9" x14ac:dyDescent="0.25">
      <c r="A61" s="215" t="s">
        <v>306</v>
      </c>
      <c r="B61" s="218"/>
      <c r="C61" s="218"/>
      <c r="D61" s="218"/>
      <c r="E61" s="218"/>
      <c r="F61" s="218"/>
      <c r="G61" s="218"/>
      <c r="H61" s="218"/>
      <c r="I61" s="218"/>
    </row>
    <row r="62" spans="1:9" x14ac:dyDescent="0.25">
      <c r="A62" s="219" t="s">
        <v>307</v>
      </c>
      <c r="B62" s="213"/>
      <c r="C62" s="213"/>
      <c r="D62" s="213"/>
      <c r="E62" s="213"/>
      <c r="F62" s="213"/>
      <c r="G62" s="213"/>
      <c r="H62" s="213"/>
      <c r="I62" s="213"/>
    </row>
    <row r="64" spans="1:9" x14ac:dyDescent="0.25">
      <c r="B64" s="2" t="s">
        <v>308</v>
      </c>
      <c r="F64" s="22">
        <f>'Sch 4'!K34+'Sch 4'!K35</f>
        <v>13950</v>
      </c>
    </row>
    <row r="65" spans="1:9" x14ac:dyDescent="0.25">
      <c r="B65" s="2" t="s">
        <v>309</v>
      </c>
      <c r="F65" s="162">
        <v>7.6499999999999999E-2</v>
      </c>
    </row>
    <row r="66" spans="1:9" ht="3.95" customHeight="1" x14ac:dyDescent="0.25"/>
    <row r="67" spans="1:9" x14ac:dyDescent="0.25">
      <c r="B67" s="2" t="s">
        <v>310</v>
      </c>
      <c r="G67" s="53">
        <f>ROUND(F64*F65,0)</f>
        <v>1067</v>
      </c>
    </row>
    <row r="68" spans="1:9" x14ac:dyDescent="0.25">
      <c r="B68" s="2" t="s">
        <v>311</v>
      </c>
      <c r="G68" s="52">
        <f>'Sch 4'!E69</f>
        <v>856</v>
      </c>
    </row>
    <row r="70" spans="1:9" ht="16.5" thickBot="1" x14ac:dyDescent="0.3">
      <c r="E70" s="13" t="s">
        <v>271</v>
      </c>
      <c r="I70" s="86">
        <f>G67-G68</f>
        <v>211</v>
      </c>
    </row>
    <row r="71" spans="1:9" ht="16.5" thickTop="1" x14ac:dyDescent="0.25"/>
    <row r="72" spans="1:9" x14ac:dyDescent="0.25">
      <c r="A72" s="2"/>
      <c r="B72" s="2"/>
      <c r="C72" s="2"/>
      <c r="D72" s="2"/>
      <c r="E72" s="2"/>
      <c r="F72" s="2"/>
      <c r="G72" s="2"/>
      <c r="H72" s="2"/>
      <c r="I72" s="12" t="str">
        <f>+'Sch 1'!J72</f>
        <v>OUCC</v>
      </c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12" t="s">
        <v>280</v>
      </c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12" t="s">
        <v>70</v>
      </c>
    </row>
    <row r="75" spans="1:9" x14ac:dyDescent="0.25">
      <c r="A75" s="217" t="s">
        <v>312</v>
      </c>
      <c r="B75" s="217"/>
      <c r="C75" s="217"/>
      <c r="D75" s="217"/>
      <c r="E75" s="217"/>
      <c r="F75" s="217"/>
      <c r="G75" s="217"/>
      <c r="H75" s="217"/>
      <c r="I75" s="217"/>
    </row>
    <row r="76" spans="1:9" x14ac:dyDescent="0.25">
      <c r="A76" s="215" t="s">
        <v>313</v>
      </c>
      <c r="B76" s="218"/>
      <c r="C76" s="218"/>
      <c r="D76" s="218"/>
      <c r="E76" s="218"/>
      <c r="F76" s="218"/>
      <c r="G76" s="218"/>
      <c r="H76" s="218"/>
      <c r="I76" s="218"/>
    </row>
    <row r="77" spans="1:9" ht="33" customHeight="1" x14ac:dyDescent="0.25">
      <c r="A77" s="220" t="s">
        <v>314</v>
      </c>
      <c r="B77" s="220"/>
      <c r="C77" s="220"/>
      <c r="D77" s="220"/>
      <c r="E77" s="220"/>
      <c r="F77" s="220"/>
      <c r="G77" s="220"/>
      <c r="H77" s="220"/>
      <c r="I77" s="220"/>
    </row>
    <row r="79" spans="1:9" x14ac:dyDescent="0.25">
      <c r="B79" t="s">
        <v>315</v>
      </c>
      <c r="F79" s="91">
        <v>26411</v>
      </c>
    </row>
    <row r="80" spans="1:9" x14ac:dyDescent="0.25">
      <c r="B80" t="s">
        <v>316</v>
      </c>
      <c r="F80" s="21">
        <f>'Sch 7 - Rate Base'!G27</f>
        <v>231242</v>
      </c>
    </row>
    <row r="81" spans="2:9" x14ac:dyDescent="0.25">
      <c r="B81" t="s">
        <v>317</v>
      </c>
      <c r="F81" s="163">
        <f>F79+F80</f>
        <v>257653</v>
      </c>
    </row>
    <row r="83" spans="2:9" x14ac:dyDescent="0.25">
      <c r="B83" t="s">
        <v>318</v>
      </c>
      <c r="F83" s="32">
        <f>F80/F81</f>
        <v>0.89749391623617814</v>
      </c>
    </row>
    <row r="85" spans="2:9" x14ac:dyDescent="0.25">
      <c r="B85" s="2" t="s">
        <v>319</v>
      </c>
      <c r="F85" s="92">
        <v>2082.5100000000002</v>
      </c>
    </row>
    <row r="86" spans="2:9" x14ac:dyDescent="0.25">
      <c r="B86" t="s">
        <v>320</v>
      </c>
      <c r="F86" s="95">
        <v>-299.73</v>
      </c>
    </row>
    <row r="87" spans="2:9" ht="16.5" thickBot="1" x14ac:dyDescent="0.3">
      <c r="B87" s="2" t="s">
        <v>321</v>
      </c>
      <c r="F87" s="90">
        <f>F85+F86</f>
        <v>1782.7800000000002</v>
      </c>
    </row>
    <row r="88" spans="2:9" ht="16.5" thickTop="1" x14ac:dyDescent="0.25"/>
    <row r="89" spans="2:9" x14ac:dyDescent="0.25">
      <c r="B89" s="2" t="s">
        <v>322</v>
      </c>
      <c r="G89" s="92">
        <f>F87*F83</f>
        <v>1600.0342039875338</v>
      </c>
    </row>
    <row r="90" spans="2:9" x14ac:dyDescent="0.25">
      <c r="B90" s="2" t="s">
        <v>323</v>
      </c>
      <c r="G90" s="95">
        <v>892.49</v>
      </c>
    </row>
    <row r="91" spans="2:9" x14ac:dyDescent="0.25">
      <c r="B91" s="2" t="s">
        <v>324</v>
      </c>
      <c r="G91" s="97">
        <v>-128.44999999999999</v>
      </c>
    </row>
    <row r="92" spans="2:9" ht="5.0999999999999996" customHeight="1" x14ac:dyDescent="0.25"/>
    <row r="93" spans="2:9" x14ac:dyDescent="0.25">
      <c r="B93" s="2" t="s">
        <v>325</v>
      </c>
      <c r="H93" s="22">
        <f>ROUND(G89+G90+G91,0)</f>
        <v>2364</v>
      </c>
    </row>
    <row r="94" spans="2:9" x14ac:dyDescent="0.25">
      <c r="B94" s="2" t="s">
        <v>326</v>
      </c>
      <c r="H94" s="63">
        <f>'Sch 4'!E70</f>
        <v>1336</v>
      </c>
    </row>
    <row r="96" spans="2:9" ht="16.5" thickBot="1" x14ac:dyDescent="0.3">
      <c r="E96" s="13" t="s">
        <v>271</v>
      </c>
      <c r="I96" s="86">
        <f>H93-H94</f>
        <v>1028</v>
      </c>
    </row>
    <row r="97" spans="1:9" ht="16.5" thickTop="1" x14ac:dyDescent="0.25"/>
    <row r="98" spans="1:9" x14ac:dyDescent="0.25">
      <c r="A98" s="217" t="s">
        <v>327</v>
      </c>
      <c r="B98" s="217"/>
      <c r="C98" s="217"/>
      <c r="D98" s="217"/>
      <c r="E98" s="217"/>
      <c r="F98" s="217"/>
      <c r="G98" s="217"/>
      <c r="H98" s="217"/>
      <c r="I98" s="217"/>
    </row>
    <row r="99" spans="1:9" x14ac:dyDescent="0.25">
      <c r="A99" s="215" t="s">
        <v>14</v>
      </c>
      <c r="B99" s="218"/>
      <c r="C99" s="218"/>
      <c r="D99" s="218"/>
      <c r="E99" s="218"/>
      <c r="F99" s="218"/>
      <c r="G99" s="218"/>
      <c r="H99" s="218"/>
      <c r="I99" s="218"/>
    </row>
    <row r="100" spans="1:9" x14ac:dyDescent="0.25">
      <c r="A100" s="219" t="s">
        <v>328</v>
      </c>
      <c r="B100" s="219"/>
      <c r="C100" s="219"/>
      <c r="D100" s="219"/>
      <c r="E100" s="219"/>
      <c r="F100" s="219"/>
      <c r="G100" s="219"/>
      <c r="H100" s="219"/>
      <c r="I100" s="219"/>
    </row>
    <row r="102" spans="1:9" x14ac:dyDescent="0.25">
      <c r="B102" t="s">
        <v>329</v>
      </c>
      <c r="F102" s="22">
        <f>'Sch 4'!K14</f>
        <v>103288</v>
      </c>
    </row>
    <row r="103" spans="1:9" x14ac:dyDescent="0.25">
      <c r="B103" t="s">
        <v>330</v>
      </c>
      <c r="F103" s="52">
        <v>1.5E-3</v>
      </c>
    </row>
    <row r="104" spans="1:9" ht="6.95" customHeight="1" x14ac:dyDescent="0.25"/>
    <row r="105" spans="1:9" x14ac:dyDescent="0.25">
      <c r="B105" s="2" t="s">
        <v>331</v>
      </c>
      <c r="G105" s="22">
        <f>ROUND(F102*F103,0)</f>
        <v>155</v>
      </c>
    </row>
    <row r="106" spans="1:9" x14ac:dyDescent="0.25">
      <c r="B106" t="s">
        <v>332</v>
      </c>
      <c r="G106" s="63">
        <f>'Sch 4'!E60</f>
        <v>148</v>
      </c>
    </row>
    <row r="108" spans="1:9" ht="16.5" thickBot="1" x14ac:dyDescent="0.3">
      <c r="E108" s="13" t="s">
        <v>271</v>
      </c>
      <c r="I108" s="86">
        <f>G105-G106</f>
        <v>7</v>
      </c>
    </row>
    <row r="109" spans="1:9" ht="16.5" thickTop="1" x14ac:dyDescent="0.25"/>
  </sheetData>
  <mergeCells count="24">
    <mergeCell ref="A49:I49"/>
    <mergeCell ref="A50:I50"/>
    <mergeCell ref="A77:I77"/>
    <mergeCell ref="A60:I60"/>
    <mergeCell ref="A61:I61"/>
    <mergeCell ref="A62:I62"/>
    <mergeCell ref="A75:I75"/>
    <mergeCell ref="A76:I76"/>
    <mergeCell ref="A98:I98"/>
    <mergeCell ref="A99:I99"/>
    <mergeCell ref="A100:I100"/>
    <mergeCell ref="A10:I10"/>
    <mergeCell ref="A4:I4"/>
    <mergeCell ref="A5:I5"/>
    <mergeCell ref="A7:I7"/>
    <mergeCell ref="A9:I9"/>
    <mergeCell ref="A11:I11"/>
    <mergeCell ref="A18:I18"/>
    <mergeCell ref="A19:I19"/>
    <mergeCell ref="A20:I20"/>
    <mergeCell ref="A30:I30"/>
    <mergeCell ref="A31:I31"/>
    <mergeCell ref="A32:I32"/>
    <mergeCell ref="A48:I48"/>
  </mergeCells>
  <phoneticPr fontId="7" type="noConversion"/>
  <pageMargins left="0.75" right="0.75" top="1" bottom="1" header="0.5" footer="0.5"/>
  <pageSetup scale="89" fitToHeight="0" orientation="portrait" verticalDpi="90" r:id="rId1"/>
  <headerFooter alignWithMargins="0"/>
  <rowBreaks count="2" manualBreakCount="2">
    <brk id="26" max="8" man="1"/>
    <brk id="71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61"/>
    <pageSetUpPr fitToPage="1"/>
  </sheetPr>
  <dimension ref="A1:O56"/>
  <sheetViews>
    <sheetView view="pageBreakPreview" topLeftCell="A24" zoomScale="85" zoomScaleNormal="115" zoomScaleSheetLayoutView="85" workbookViewId="0">
      <selection activeCell="G25" sqref="G25"/>
    </sheetView>
  </sheetViews>
  <sheetFormatPr defaultRowHeight="15.75" x14ac:dyDescent="0.25"/>
  <cols>
    <col min="1" max="1" width="2.5" style="70" customWidth="1"/>
    <col min="2" max="2" width="6.125" customWidth="1"/>
    <col min="3" max="3" width="35.75" customWidth="1"/>
    <col min="4" max="4" width="2.875" customWidth="1"/>
    <col min="5" max="5" width="12.5" customWidth="1"/>
    <col min="6" max="6" width="1.625" customWidth="1"/>
    <col min="7" max="7" width="12.625" customWidth="1"/>
    <col min="8" max="8" width="1.625" customWidth="1"/>
    <col min="9" max="9" width="12.5" customWidth="1"/>
    <col min="10" max="15" width="8.625" style="74"/>
  </cols>
  <sheetData>
    <row r="1" spans="1:15" x14ac:dyDescent="0.25">
      <c r="B1" s="2"/>
      <c r="C1" s="2"/>
      <c r="D1" s="2"/>
      <c r="E1" s="2"/>
      <c r="F1" s="2"/>
      <c r="G1" s="2"/>
      <c r="H1" s="2"/>
      <c r="I1" s="12" t="str">
        <f>+'Sch 1'!J1</f>
        <v>OUCC</v>
      </c>
    </row>
    <row r="2" spans="1:15" x14ac:dyDescent="0.25">
      <c r="B2" s="2"/>
      <c r="C2" s="2"/>
      <c r="D2" s="2"/>
      <c r="E2" s="2"/>
      <c r="F2" s="2"/>
      <c r="G2" s="2"/>
      <c r="H2" s="2"/>
      <c r="I2" s="12" t="s">
        <v>333</v>
      </c>
    </row>
    <row r="3" spans="1:15" x14ac:dyDescent="0.25">
      <c r="B3" s="2"/>
      <c r="C3" s="2"/>
      <c r="D3" s="2"/>
      <c r="E3" s="2"/>
      <c r="F3" s="2"/>
      <c r="G3" s="2"/>
      <c r="H3" s="2"/>
      <c r="I3" s="12" t="s">
        <v>101</v>
      </c>
    </row>
    <row r="4" spans="1:15" s="16" customFormat="1" ht="20.25" x14ac:dyDescent="0.3">
      <c r="A4" s="70"/>
      <c r="B4" s="211" t="str">
        <f>+Inputs!$C$5</f>
        <v>Pleasantview Wastewater</v>
      </c>
      <c r="C4" s="211"/>
      <c r="D4" s="211"/>
      <c r="E4" s="211"/>
      <c r="F4" s="211"/>
      <c r="G4" s="211"/>
      <c r="H4" s="211"/>
      <c r="I4" s="211"/>
      <c r="J4" s="75"/>
      <c r="K4" s="75"/>
      <c r="L4" s="75"/>
      <c r="M4" s="75"/>
      <c r="N4" s="75"/>
      <c r="O4" s="75"/>
    </row>
    <row r="5" spans="1:15" s="16" customFormat="1" ht="18.75" x14ac:dyDescent="0.3">
      <c r="A5" s="70"/>
      <c r="B5" s="207" t="str">
        <f>"CAUSE NUMBER "&amp;+Inputs!$C$6</f>
        <v>CAUSE NUMBER 46122-U</v>
      </c>
      <c r="C5" s="207"/>
      <c r="D5" s="207"/>
      <c r="E5" s="207"/>
      <c r="F5" s="207"/>
      <c r="G5" s="207"/>
      <c r="H5" s="207"/>
      <c r="I5" s="207"/>
      <c r="J5" s="75"/>
      <c r="K5" s="75"/>
      <c r="L5" s="75"/>
      <c r="M5" s="75"/>
      <c r="N5" s="75"/>
      <c r="O5" s="75"/>
    </row>
    <row r="7" spans="1:15" x14ac:dyDescent="0.25">
      <c r="B7" s="215" t="s">
        <v>334</v>
      </c>
      <c r="C7" s="215"/>
      <c r="D7" s="215"/>
      <c r="E7" s="215"/>
      <c r="F7" s="215"/>
      <c r="G7" s="215"/>
      <c r="H7" s="215"/>
      <c r="I7" s="215"/>
    </row>
    <row r="9" spans="1:15" x14ac:dyDescent="0.25">
      <c r="E9" s="188" t="s">
        <v>45</v>
      </c>
      <c r="F9" s="188"/>
      <c r="G9" s="188" t="s">
        <v>45</v>
      </c>
      <c r="H9" s="188"/>
      <c r="I9" s="188" t="s">
        <v>40</v>
      </c>
    </row>
    <row r="10" spans="1:15" x14ac:dyDescent="0.25">
      <c r="E10" s="5" t="s">
        <v>47</v>
      </c>
      <c r="F10" s="188"/>
      <c r="G10" s="5" t="s">
        <v>40</v>
      </c>
      <c r="H10" s="188"/>
      <c r="I10" s="5" t="s">
        <v>49</v>
      </c>
    </row>
    <row r="11" spans="1:15" s="65" customFormat="1" ht="33" customHeight="1" x14ac:dyDescent="0.25">
      <c r="A11" s="164">
        <v>1</v>
      </c>
      <c r="B11" s="222" t="s">
        <v>335</v>
      </c>
      <c r="C11" s="222"/>
      <c r="D11" s="165"/>
      <c r="E11" s="166">
        <v>249287</v>
      </c>
      <c r="F11" s="166"/>
      <c r="H11" s="166"/>
      <c r="J11" s="167"/>
      <c r="K11" s="167"/>
      <c r="L11" s="167"/>
      <c r="M11" s="167"/>
      <c r="N11" s="167"/>
      <c r="O11" s="167"/>
    </row>
    <row r="12" spans="1:15" s="65" customFormat="1" ht="33.6" customHeight="1" x14ac:dyDescent="0.25">
      <c r="A12" s="164">
        <v>2</v>
      </c>
      <c r="B12" s="222" t="s">
        <v>336</v>
      </c>
      <c r="C12" s="222"/>
      <c r="D12" s="165"/>
      <c r="E12" s="166"/>
      <c r="F12" s="166"/>
      <c r="G12" s="166">
        <v>232285</v>
      </c>
      <c r="H12" s="166"/>
      <c r="I12" s="166">
        <f>+G12-E11</f>
        <v>-17002</v>
      </c>
      <c r="J12" s="167"/>
      <c r="K12" s="167"/>
      <c r="L12" s="167"/>
      <c r="M12" s="167"/>
      <c r="N12" s="167"/>
      <c r="O12" s="167"/>
    </row>
    <row r="13" spans="1:15" s="65" customFormat="1" ht="3.6" customHeight="1" x14ac:dyDescent="0.25">
      <c r="A13" s="164"/>
      <c r="B13" s="168"/>
      <c r="D13" s="165"/>
      <c r="E13" s="166"/>
      <c r="F13" s="166"/>
      <c r="G13" s="166"/>
      <c r="H13" s="166"/>
      <c r="I13" s="166"/>
      <c r="J13" s="167"/>
      <c r="K13" s="167"/>
      <c r="L13" s="167"/>
      <c r="M13" s="167"/>
      <c r="N13" s="167"/>
      <c r="O13" s="167"/>
    </row>
    <row r="14" spans="1:15" s="65" customFormat="1" x14ac:dyDescent="0.25">
      <c r="A14" s="164">
        <v>3</v>
      </c>
      <c r="B14" s="168" t="s">
        <v>337</v>
      </c>
      <c r="D14" s="165"/>
      <c r="E14" s="166"/>
      <c r="F14" s="166"/>
      <c r="G14" s="166"/>
      <c r="H14" s="166"/>
      <c r="I14" s="166"/>
      <c r="J14" s="167"/>
      <c r="K14" s="167"/>
      <c r="L14" s="167"/>
      <c r="M14" s="167"/>
      <c r="N14" s="167"/>
      <c r="O14" s="167"/>
    </row>
    <row r="15" spans="1:15" s="65" customFormat="1" x14ac:dyDescent="0.25">
      <c r="A15" s="164">
        <v>4</v>
      </c>
      <c r="B15" s="168"/>
      <c r="C15" s="184" t="s">
        <v>338</v>
      </c>
      <c r="D15" s="165"/>
      <c r="E15" s="166"/>
      <c r="F15" s="166"/>
      <c r="G15" s="170">
        <v>4119</v>
      </c>
      <c r="H15" s="166"/>
      <c r="I15" s="170">
        <f>+G15-E15</f>
        <v>4119</v>
      </c>
      <c r="J15" s="167"/>
      <c r="K15" s="167"/>
      <c r="L15" s="167"/>
      <c r="M15" s="167"/>
      <c r="N15" s="167"/>
      <c r="O15" s="167"/>
    </row>
    <row r="16" spans="1:15" s="65" customFormat="1" x14ac:dyDescent="0.25">
      <c r="A16" s="164">
        <v>5</v>
      </c>
      <c r="B16" s="168"/>
      <c r="C16" s="184" t="s">
        <v>339</v>
      </c>
      <c r="D16" s="165"/>
      <c r="E16" s="166"/>
      <c r="F16" s="166"/>
      <c r="G16" s="170">
        <v>999</v>
      </c>
      <c r="H16" s="166"/>
      <c r="I16" s="170">
        <f t="shared" ref="I16:I26" si="0">+G16-E16</f>
        <v>999</v>
      </c>
      <c r="J16" s="167"/>
      <c r="K16" s="167"/>
      <c r="L16" s="167"/>
      <c r="M16" s="167"/>
      <c r="N16" s="167"/>
      <c r="O16" s="167"/>
    </row>
    <row r="17" spans="1:15" s="65" customFormat="1" x14ac:dyDescent="0.25">
      <c r="A17" s="164">
        <v>6</v>
      </c>
      <c r="B17" s="168"/>
      <c r="C17" s="184" t="s">
        <v>340</v>
      </c>
      <c r="D17" s="165"/>
      <c r="E17" s="166"/>
      <c r="F17" s="166"/>
      <c r="G17" s="170">
        <v>6019</v>
      </c>
      <c r="H17" s="166"/>
      <c r="I17" s="170">
        <f t="shared" si="0"/>
        <v>6019</v>
      </c>
      <c r="J17" s="167"/>
      <c r="K17" s="167"/>
      <c r="L17" s="167"/>
      <c r="M17" s="167"/>
      <c r="N17" s="167"/>
      <c r="O17" s="167"/>
    </row>
    <row r="18" spans="1:15" s="65" customFormat="1" x14ac:dyDescent="0.25">
      <c r="A18" s="164">
        <v>7</v>
      </c>
      <c r="B18" s="168"/>
      <c r="C18" s="184" t="s">
        <v>341</v>
      </c>
      <c r="D18" s="165"/>
      <c r="E18" s="166"/>
      <c r="F18" s="166"/>
      <c r="G18" s="170">
        <v>7562</v>
      </c>
      <c r="H18" s="166"/>
      <c r="I18" s="170">
        <f t="shared" si="0"/>
        <v>7562</v>
      </c>
      <c r="J18" s="167"/>
      <c r="K18" s="167"/>
      <c r="L18" s="167"/>
      <c r="M18" s="167"/>
      <c r="N18" s="167"/>
      <c r="O18" s="167"/>
    </row>
    <row r="19" spans="1:15" s="65" customFormat="1" x14ac:dyDescent="0.25">
      <c r="A19" s="164">
        <v>8</v>
      </c>
      <c r="B19" s="168"/>
      <c r="C19" s="184" t="s">
        <v>342</v>
      </c>
      <c r="D19" s="165"/>
      <c r="E19" s="166"/>
      <c r="F19" s="166"/>
      <c r="G19" s="170">
        <v>9306</v>
      </c>
      <c r="H19" s="166"/>
      <c r="I19" s="170">
        <f t="shared" si="0"/>
        <v>9306</v>
      </c>
      <c r="J19" s="167"/>
      <c r="K19" s="167"/>
      <c r="L19" s="167"/>
      <c r="M19" s="167"/>
      <c r="N19" s="167"/>
      <c r="O19" s="167"/>
    </row>
    <row r="20" spans="1:15" s="65" customFormat="1" x14ac:dyDescent="0.25">
      <c r="A20" s="164">
        <v>9</v>
      </c>
      <c r="B20" s="168"/>
      <c r="C20" s="184" t="s">
        <v>343</v>
      </c>
      <c r="D20" s="165"/>
      <c r="E20" s="166"/>
      <c r="F20" s="166"/>
      <c r="G20" s="170">
        <v>1013</v>
      </c>
      <c r="H20" s="166"/>
      <c r="I20" s="170">
        <f t="shared" si="0"/>
        <v>1013</v>
      </c>
      <c r="J20" s="167"/>
      <c r="K20" s="167"/>
      <c r="L20" s="167"/>
      <c r="M20" s="167"/>
      <c r="N20" s="167"/>
      <c r="O20" s="167"/>
    </row>
    <row r="21" spans="1:15" s="65" customFormat="1" x14ac:dyDescent="0.25">
      <c r="A21" s="164">
        <v>10</v>
      </c>
      <c r="B21" s="168"/>
      <c r="C21" s="184" t="s">
        <v>344</v>
      </c>
      <c r="D21" s="165"/>
      <c r="E21" s="166"/>
      <c r="F21" s="166"/>
      <c r="G21" s="170">
        <v>2177</v>
      </c>
      <c r="H21" s="166"/>
      <c r="I21" s="170">
        <f t="shared" si="0"/>
        <v>2177</v>
      </c>
      <c r="J21" s="167"/>
      <c r="K21" s="167"/>
      <c r="L21" s="167"/>
      <c r="M21" s="167"/>
      <c r="N21" s="167"/>
      <c r="O21" s="167"/>
    </row>
    <row r="22" spans="1:15" s="65" customFormat="1" x14ac:dyDescent="0.25">
      <c r="A22" s="164">
        <v>11</v>
      </c>
      <c r="B22" s="168" t="s">
        <v>345</v>
      </c>
      <c r="D22" s="165"/>
      <c r="E22" s="166"/>
      <c r="F22" s="166"/>
      <c r="G22" s="170"/>
      <c r="H22" s="166"/>
      <c r="I22" s="170">
        <f t="shared" si="0"/>
        <v>0</v>
      </c>
      <c r="J22" s="167"/>
      <c r="K22" s="167"/>
      <c r="L22" s="167"/>
      <c r="M22" s="167"/>
      <c r="N22" s="167"/>
      <c r="O22" s="167"/>
    </row>
    <row r="23" spans="1:15" s="65" customFormat="1" ht="31.5" x14ac:dyDescent="0.25">
      <c r="A23" s="164">
        <v>12</v>
      </c>
      <c r="B23" s="185">
        <v>2013</v>
      </c>
      <c r="C23" s="183" t="s">
        <v>346</v>
      </c>
      <c r="D23" s="165"/>
      <c r="E23" s="166"/>
      <c r="F23" s="166"/>
      <c r="G23" s="170">
        <v>-2265</v>
      </c>
      <c r="H23" s="166"/>
      <c r="I23" s="170">
        <f t="shared" si="0"/>
        <v>-2265</v>
      </c>
      <c r="J23" s="167"/>
      <c r="K23" s="167"/>
      <c r="L23" s="167"/>
      <c r="M23" s="167"/>
      <c r="N23" s="167"/>
      <c r="O23" s="167"/>
    </row>
    <row r="24" spans="1:15" s="65" customFormat="1" ht="31.5" x14ac:dyDescent="0.25">
      <c r="A24" s="164">
        <v>13</v>
      </c>
      <c r="B24" s="185">
        <v>2018</v>
      </c>
      <c r="C24" s="183" t="s">
        <v>347</v>
      </c>
      <c r="D24" s="165"/>
      <c r="E24" s="166"/>
      <c r="F24" s="166"/>
      <c r="G24" s="170">
        <v>-26441</v>
      </c>
      <c r="H24" s="166"/>
      <c r="I24" s="170">
        <f t="shared" si="0"/>
        <v>-26441</v>
      </c>
      <c r="J24" s="167"/>
      <c r="K24" s="167"/>
      <c r="L24" s="167"/>
      <c r="M24" s="167"/>
      <c r="N24" s="167"/>
      <c r="O24" s="167"/>
    </row>
    <row r="25" spans="1:15" s="65" customFormat="1" x14ac:dyDescent="0.25">
      <c r="A25" s="164">
        <v>14</v>
      </c>
      <c r="B25" s="185">
        <v>2020</v>
      </c>
      <c r="C25" s="182" t="s">
        <v>348</v>
      </c>
      <c r="D25" s="165"/>
      <c r="E25" s="166"/>
      <c r="F25" s="166"/>
      <c r="G25" s="170">
        <v>-2936</v>
      </c>
      <c r="H25" s="166"/>
      <c r="I25" s="170">
        <f t="shared" si="0"/>
        <v>-2936</v>
      </c>
      <c r="J25" s="167"/>
      <c r="K25" s="167"/>
      <c r="L25" s="167"/>
      <c r="M25" s="167"/>
      <c r="N25" s="167"/>
      <c r="O25" s="167"/>
    </row>
    <row r="26" spans="1:15" s="65" customFormat="1" x14ac:dyDescent="0.25">
      <c r="A26" s="164">
        <v>15</v>
      </c>
      <c r="B26" s="185">
        <v>2021</v>
      </c>
      <c r="C26" s="173" t="s">
        <v>349</v>
      </c>
      <c r="E26" s="169"/>
      <c r="F26" s="170"/>
      <c r="G26" s="169">
        <v>-596</v>
      </c>
      <c r="H26" s="170"/>
      <c r="I26" s="170">
        <f t="shared" si="0"/>
        <v>-596</v>
      </c>
      <c r="J26" s="167"/>
      <c r="K26" s="167"/>
      <c r="L26" s="167"/>
      <c r="M26" s="167"/>
      <c r="N26" s="167"/>
      <c r="O26" s="167"/>
    </row>
    <row r="27" spans="1:15" s="65" customFormat="1" x14ac:dyDescent="0.25">
      <c r="A27" s="164">
        <v>16</v>
      </c>
      <c r="C27" s="168" t="s">
        <v>350</v>
      </c>
      <c r="E27" s="171">
        <v>249287</v>
      </c>
      <c r="F27" s="170"/>
      <c r="G27" s="171">
        <f>SUM(G12:G26)</f>
        <v>231242</v>
      </c>
      <c r="H27" s="170"/>
      <c r="I27" s="171">
        <f>SUM(I12:I26)</f>
        <v>-18045</v>
      </c>
      <c r="J27" s="172"/>
      <c r="K27" s="167"/>
      <c r="L27" s="167"/>
      <c r="M27" s="167"/>
      <c r="N27" s="167"/>
      <c r="O27" s="167"/>
    </row>
    <row r="28" spans="1:15" s="65" customFormat="1" x14ac:dyDescent="0.25">
      <c r="A28" s="164"/>
      <c r="E28" s="170"/>
      <c r="F28" s="170"/>
      <c r="G28" s="170"/>
      <c r="H28" s="170"/>
      <c r="I28" s="170"/>
      <c r="J28" s="167"/>
      <c r="K28" s="167"/>
      <c r="L28" s="167"/>
      <c r="M28" s="167"/>
      <c r="N28" s="167"/>
      <c r="O28" s="167"/>
    </row>
    <row r="29" spans="1:15" s="65" customFormat="1" ht="31.5" customHeight="1" x14ac:dyDescent="0.25">
      <c r="A29" s="164">
        <v>17</v>
      </c>
      <c r="B29" s="223" t="s">
        <v>351</v>
      </c>
      <c r="C29" s="223"/>
      <c r="E29" s="170">
        <v>-201309</v>
      </c>
      <c r="F29" s="170"/>
      <c r="H29" s="170"/>
      <c r="J29" s="172"/>
      <c r="K29" s="167"/>
      <c r="L29" s="167"/>
      <c r="M29" s="167"/>
      <c r="N29" s="167"/>
      <c r="O29" s="167"/>
    </row>
    <row r="30" spans="1:15" s="65" customFormat="1" ht="32.1" customHeight="1" x14ac:dyDescent="0.25">
      <c r="A30" s="164">
        <v>18</v>
      </c>
      <c r="B30" s="222" t="s">
        <v>352</v>
      </c>
      <c r="C30" s="222"/>
      <c r="E30" s="170"/>
      <c r="F30" s="170"/>
      <c r="G30" s="170">
        <v>-151598</v>
      </c>
      <c r="H30" s="170"/>
      <c r="I30" s="170">
        <f>+G30-E29</f>
        <v>49711</v>
      </c>
      <c r="J30" s="172"/>
      <c r="K30" s="167"/>
      <c r="L30" s="167"/>
      <c r="M30" s="167"/>
      <c r="N30" s="167"/>
      <c r="O30" s="167"/>
    </row>
    <row r="31" spans="1:15" s="65" customFormat="1" ht="6.6" customHeight="1" x14ac:dyDescent="0.25">
      <c r="A31" s="164"/>
      <c r="B31" s="168"/>
      <c r="C31" s="173"/>
      <c r="E31" s="170"/>
      <c r="F31" s="170"/>
      <c r="G31" s="170"/>
      <c r="H31" s="170"/>
      <c r="I31" s="170"/>
      <c r="J31" s="172"/>
      <c r="K31" s="167"/>
      <c r="L31" s="167"/>
      <c r="M31" s="167"/>
      <c r="N31" s="167"/>
      <c r="O31" s="167"/>
    </row>
    <row r="32" spans="1:15" s="65" customFormat="1" x14ac:dyDescent="0.25">
      <c r="A32" s="164">
        <v>19</v>
      </c>
      <c r="B32" s="168" t="s">
        <v>353</v>
      </c>
      <c r="C32" s="173"/>
      <c r="E32" s="170"/>
      <c r="F32" s="170"/>
      <c r="G32" s="170">
        <v>-56847</v>
      </c>
      <c r="H32" s="170"/>
      <c r="I32" s="170">
        <f>+G32-E32</f>
        <v>-56847</v>
      </c>
      <c r="J32" s="172"/>
      <c r="K32" s="167"/>
      <c r="L32" s="167"/>
      <c r="M32" s="167"/>
      <c r="N32" s="167"/>
      <c r="O32" s="167"/>
    </row>
    <row r="33" spans="1:15" s="65" customFormat="1" ht="31.5" x14ac:dyDescent="0.25">
      <c r="A33" s="164">
        <v>20</v>
      </c>
      <c r="B33" s="185">
        <v>2013</v>
      </c>
      <c r="C33" s="183" t="s">
        <v>346</v>
      </c>
      <c r="E33" s="170"/>
      <c r="F33" s="170"/>
      <c r="G33" s="170">
        <f>-G23</f>
        <v>2265</v>
      </c>
      <c r="H33" s="170"/>
      <c r="I33" s="170">
        <f t="shared" ref="I33:I36" si="1">+G33-E33</f>
        <v>2265</v>
      </c>
      <c r="J33" s="172"/>
      <c r="K33" s="167"/>
      <c r="L33" s="167"/>
      <c r="M33" s="167"/>
      <c r="N33" s="167"/>
      <c r="O33" s="167"/>
    </row>
    <row r="34" spans="1:15" s="65" customFormat="1" ht="31.5" x14ac:dyDescent="0.25">
      <c r="A34" s="164">
        <v>21</v>
      </c>
      <c r="B34" s="185">
        <v>2018</v>
      </c>
      <c r="C34" s="183" t="s">
        <v>347</v>
      </c>
      <c r="E34" s="170"/>
      <c r="F34" s="170"/>
      <c r="G34" s="170">
        <f t="shared" ref="G34:G36" si="2">-G24</f>
        <v>26441</v>
      </c>
      <c r="H34" s="170"/>
      <c r="I34" s="170">
        <f t="shared" si="1"/>
        <v>26441</v>
      </c>
      <c r="J34" s="172"/>
      <c r="K34" s="167"/>
      <c r="L34" s="167"/>
      <c r="M34" s="167"/>
      <c r="N34" s="167"/>
      <c r="O34" s="167"/>
    </row>
    <row r="35" spans="1:15" s="65" customFormat="1" x14ac:dyDescent="0.25">
      <c r="A35" s="164">
        <v>22</v>
      </c>
      <c r="B35" s="185">
        <v>2020</v>
      </c>
      <c r="C35" s="182" t="s">
        <v>348</v>
      </c>
      <c r="E35" s="170"/>
      <c r="F35" s="170"/>
      <c r="G35" s="170">
        <f t="shared" si="2"/>
        <v>2936</v>
      </c>
      <c r="H35" s="170"/>
      <c r="I35" s="170">
        <f t="shared" si="1"/>
        <v>2936</v>
      </c>
      <c r="J35" s="172"/>
      <c r="K35" s="167"/>
      <c r="L35" s="167"/>
      <c r="M35" s="167"/>
      <c r="N35" s="167"/>
      <c r="O35" s="167"/>
    </row>
    <row r="36" spans="1:15" s="65" customFormat="1" x14ac:dyDescent="0.25">
      <c r="A36" s="164">
        <v>23</v>
      </c>
      <c r="B36" s="185">
        <v>2021</v>
      </c>
      <c r="C36" s="173" t="s">
        <v>349</v>
      </c>
      <c r="E36" s="170"/>
      <c r="F36" s="170"/>
      <c r="G36" s="170">
        <f t="shared" si="2"/>
        <v>596</v>
      </c>
      <c r="H36" s="170"/>
      <c r="I36" s="170">
        <f t="shared" si="1"/>
        <v>596</v>
      </c>
      <c r="J36" s="172"/>
      <c r="K36" s="167"/>
      <c r="L36" s="167"/>
      <c r="M36" s="167"/>
      <c r="N36" s="167"/>
      <c r="O36" s="167"/>
    </row>
    <row r="37" spans="1:15" s="65" customFormat="1" x14ac:dyDescent="0.25">
      <c r="A37" s="164">
        <v>24</v>
      </c>
      <c r="C37" s="168" t="s">
        <v>354</v>
      </c>
      <c r="E37" s="171">
        <f>+E29</f>
        <v>-201309</v>
      </c>
      <c r="F37" s="170"/>
      <c r="G37" s="171">
        <f>SUM(G30:G36)</f>
        <v>-176207</v>
      </c>
      <c r="H37" s="170"/>
      <c r="I37" s="171">
        <f>SUM(I30:I36)</f>
        <v>25102</v>
      </c>
      <c r="J37" s="172"/>
      <c r="K37" s="167"/>
      <c r="L37" s="167"/>
      <c r="M37" s="167"/>
      <c r="N37" s="167"/>
      <c r="O37" s="167"/>
    </row>
    <row r="38" spans="1:15" s="65" customFormat="1" ht="9" customHeight="1" x14ac:dyDescent="0.25">
      <c r="A38" s="164"/>
      <c r="E38" s="170"/>
      <c r="F38" s="170"/>
      <c r="G38" s="170"/>
      <c r="H38" s="170"/>
      <c r="I38" s="170"/>
      <c r="J38" s="186"/>
      <c r="K38" s="172"/>
      <c r="L38" s="167"/>
      <c r="M38" s="167"/>
      <c r="N38" s="167"/>
      <c r="O38" s="167"/>
    </row>
    <row r="39" spans="1:15" s="65" customFormat="1" x14ac:dyDescent="0.25">
      <c r="A39" s="164">
        <v>25</v>
      </c>
      <c r="C39" s="168" t="s">
        <v>114</v>
      </c>
      <c r="E39" s="178">
        <f>+E27+E37</f>
        <v>47978</v>
      </c>
      <c r="F39" s="170"/>
      <c r="G39" s="170">
        <f>+G27+G37</f>
        <v>55035</v>
      </c>
      <c r="H39" s="170"/>
      <c r="I39" s="170">
        <f>+I27+I37</f>
        <v>7057</v>
      </c>
      <c r="J39" s="172"/>
      <c r="K39" s="167"/>
      <c r="L39" s="167"/>
      <c r="M39" s="167"/>
      <c r="N39" s="167"/>
      <c r="O39" s="167"/>
    </row>
    <row r="40" spans="1:15" s="65" customFormat="1" ht="8.4499999999999993" customHeight="1" x14ac:dyDescent="0.25">
      <c r="A40" s="164"/>
      <c r="E40" s="170"/>
      <c r="F40" s="170"/>
      <c r="G40" s="170"/>
      <c r="H40" s="170"/>
      <c r="I40" s="170"/>
      <c r="J40" s="167"/>
      <c r="K40" s="167"/>
      <c r="L40" s="167"/>
      <c r="M40" s="167"/>
      <c r="N40" s="167"/>
      <c r="O40" s="167"/>
    </row>
    <row r="41" spans="1:15" s="65" customFormat="1" x14ac:dyDescent="0.25">
      <c r="A41" s="164">
        <v>26</v>
      </c>
      <c r="B41" s="173" t="s">
        <v>355</v>
      </c>
      <c r="E41" s="170">
        <f>+E55</f>
        <v>11506.625</v>
      </c>
      <c r="F41" s="170"/>
      <c r="G41" s="170">
        <f>+G55</f>
        <v>11082.5</v>
      </c>
      <c r="H41" s="170"/>
      <c r="I41" s="170">
        <f>+G41-E41</f>
        <v>-424.125</v>
      </c>
      <c r="J41" s="167"/>
      <c r="K41" s="167"/>
      <c r="L41" s="167"/>
      <c r="M41" s="167"/>
      <c r="N41" s="167"/>
      <c r="O41" s="167"/>
    </row>
    <row r="42" spans="1:15" s="65" customFormat="1" ht="6" customHeight="1" x14ac:dyDescent="0.25">
      <c r="A42" s="164"/>
      <c r="C42" s="173"/>
      <c r="E42" s="170"/>
      <c r="F42" s="170"/>
      <c r="G42" s="170"/>
      <c r="H42" s="170"/>
      <c r="I42" s="170"/>
      <c r="J42" s="167"/>
      <c r="K42" s="167"/>
      <c r="L42" s="167"/>
      <c r="M42" s="167"/>
      <c r="N42" s="167"/>
      <c r="O42" s="167"/>
    </row>
    <row r="43" spans="1:15" s="65" customFormat="1" ht="16.5" thickBot="1" x14ac:dyDescent="0.3">
      <c r="A43" s="164">
        <v>27</v>
      </c>
      <c r="B43" s="168" t="s">
        <v>356</v>
      </c>
      <c r="E43" s="174">
        <f>+E39+E41</f>
        <v>59484.625</v>
      </c>
      <c r="F43" s="170"/>
      <c r="G43" s="174">
        <f>+G39+G41</f>
        <v>66117.5</v>
      </c>
      <c r="H43" s="170"/>
      <c r="I43" s="174">
        <f>+I39+I41</f>
        <v>6632.875</v>
      </c>
      <c r="J43" s="167"/>
      <c r="K43" s="167"/>
      <c r="L43" s="167"/>
      <c r="M43" s="167"/>
      <c r="N43" s="167"/>
      <c r="O43" s="167"/>
    </row>
    <row r="44" spans="1:15" s="65" customFormat="1" ht="16.5" thickTop="1" x14ac:dyDescent="0.25">
      <c r="A44" s="164"/>
      <c r="J44" s="167"/>
      <c r="K44" s="167"/>
      <c r="L44" s="167"/>
      <c r="M44" s="167"/>
      <c r="N44" s="167"/>
      <c r="O44" s="167"/>
    </row>
    <row r="45" spans="1:15" s="65" customFormat="1" x14ac:dyDescent="0.25">
      <c r="A45" s="164"/>
      <c r="B45" s="221" t="s">
        <v>357</v>
      </c>
      <c r="C45" s="221"/>
      <c r="D45" s="221"/>
      <c r="E45" s="221"/>
      <c r="F45" s="221"/>
      <c r="G45" s="221"/>
      <c r="H45" s="221"/>
      <c r="I45" s="221"/>
      <c r="J45" s="167"/>
      <c r="K45" s="167"/>
      <c r="L45" s="167"/>
      <c r="M45" s="167"/>
      <c r="N45" s="167"/>
      <c r="O45" s="167"/>
    </row>
    <row r="46" spans="1:15" s="65" customFormat="1" ht="6.95" customHeight="1" x14ac:dyDescent="0.25">
      <c r="A46" s="164"/>
      <c r="J46" s="167"/>
      <c r="K46" s="167"/>
      <c r="L46" s="167"/>
      <c r="M46" s="167"/>
      <c r="N46" s="167"/>
      <c r="O46" s="167"/>
    </row>
    <row r="47" spans="1:15" s="65" customFormat="1" x14ac:dyDescent="0.25">
      <c r="A47" s="164">
        <v>28</v>
      </c>
      <c r="B47" s="65" t="s">
        <v>358</v>
      </c>
      <c r="E47" s="166">
        <v>103889</v>
      </c>
      <c r="G47" s="166">
        <f>SUM('Sch 4'!K34:K63)</f>
        <v>99429</v>
      </c>
      <c r="I47" s="175">
        <f>+G47-E47</f>
        <v>-4460</v>
      </c>
      <c r="J47" s="167"/>
      <c r="K47" s="167"/>
      <c r="L47" s="167"/>
      <c r="M47" s="167"/>
      <c r="N47" s="167"/>
      <c r="O47" s="167"/>
    </row>
    <row r="48" spans="1:15" s="65" customFormat="1" x14ac:dyDescent="0.25">
      <c r="A48" s="164">
        <v>29</v>
      </c>
      <c r="B48" s="173" t="s">
        <v>359</v>
      </c>
      <c r="C48" s="173" t="s">
        <v>306</v>
      </c>
      <c r="E48" s="170">
        <v>0</v>
      </c>
      <c r="G48" s="170">
        <f>'Sch 4'!K69</f>
        <v>1067</v>
      </c>
      <c r="I48" s="186">
        <f>+G48-E48</f>
        <v>1067</v>
      </c>
      <c r="J48" s="167"/>
      <c r="K48" s="167"/>
      <c r="L48" s="167"/>
      <c r="M48" s="167"/>
      <c r="N48" s="167"/>
      <c r="O48" s="167"/>
    </row>
    <row r="49" spans="1:15" s="65" customFormat="1" x14ac:dyDescent="0.25">
      <c r="A49" s="164">
        <v>30</v>
      </c>
      <c r="B49" s="65" t="s">
        <v>65</v>
      </c>
      <c r="C49" s="65" t="s">
        <v>201</v>
      </c>
      <c r="E49" s="170">
        <v>-438</v>
      </c>
      <c r="G49" s="170">
        <f>-'Sch 4'!K37</f>
        <v>-438</v>
      </c>
      <c r="I49" s="176">
        <f>+G49-E49</f>
        <v>0</v>
      </c>
      <c r="J49" s="167"/>
      <c r="K49" s="167"/>
      <c r="L49" s="167"/>
      <c r="M49" s="167"/>
      <c r="N49" s="167"/>
      <c r="O49" s="167"/>
    </row>
    <row r="50" spans="1:15" s="65" customFormat="1" x14ac:dyDescent="0.25">
      <c r="A50" s="164">
        <v>31</v>
      </c>
      <c r="C50" s="65" t="s">
        <v>202</v>
      </c>
      <c r="E50" s="170">
        <v>-11398</v>
      </c>
      <c r="G50" s="170">
        <f>-'Sch 4'!K38</f>
        <v>-11398</v>
      </c>
      <c r="I50" s="187">
        <f>+G50-E50</f>
        <v>0</v>
      </c>
      <c r="J50" s="167"/>
      <c r="K50" s="167"/>
      <c r="L50" s="167"/>
      <c r="M50" s="167"/>
      <c r="N50" s="167"/>
      <c r="O50" s="167"/>
    </row>
    <row r="51" spans="1:15" s="65" customFormat="1" ht="6" customHeight="1" x14ac:dyDescent="0.25">
      <c r="A51" s="164"/>
      <c r="E51" s="177"/>
      <c r="G51" s="177"/>
      <c r="J51" s="167"/>
      <c r="K51" s="167"/>
      <c r="L51" s="167"/>
      <c r="M51" s="167"/>
      <c r="N51" s="167"/>
      <c r="O51" s="167"/>
    </row>
    <row r="52" spans="1:15" s="65" customFormat="1" x14ac:dyDescent="0.25">
      <c r="A52" s="164">
        <v>32</v>
      </c>
      <c r="B52" s="65" t="s">
        <v>360</v>
      </c>
      <c r="E52" s="170">
        <f>SUM(E47:E50)</f>
        <v>92053</v>
      </c>
      <c r="F52" s="170"/>
      <c r="G52" s="170">
        <f>G47+G48+G49+G50</f>
        <v>88660</v>
      </c>
      <c r="I52" s="178">
        <f>SUM(I47:I50)</f>
        <v>-3393</v>
      </c>
      <c r="J52" s="167"/>
      <c r="K52" s="167"/>
      <c r="L52" s="167"/>
      <c r="M52" s="167"/>
      <c r="N52" s="167"/>
      <c r="O52" s="167"/>
    </row>
    <row r="53" spans="1:15" s="65" customFormat="1" x14ac:dyDescent="0.25">
      <c r="A53" s="164">
        <v>33</v>
      </c>
      <c r="B53" s="65" t="s">
        <v>361</v>
      </c>
      <c r="C53" s="65" t="s">
        <v>362</v>
      </c>
      <c r="E53" s="179">
        <v>8</v>
      </c>
      <c r="F53" s="170"/>
      <c r="G53" s="170">
        <v>8</v>
      </c>
      <c r="I53" s="180"/>
      <c r="J53" s="167"/>
      <c r="K53" s="167"/>
      <c r="L53" s="167"/>
      <c r="M53" s="167"/>
      <c r="N53" s="167"/>
      <c r="O53" s="167"/>
    </row>
    <row r="54" spans="1:15" s="65" customFormat="1" ht="3.95" customHeight="1" x14ac:dyDescent="0.25">
      <c r="A54" s="164"/>
      <c r="E54" s="177"/>
      <c r="G54" s="177"/>
      <c r="J54" s="167"/>
      <c r="K54" s="167"/>
      <c r="L54" s="167"/>
      <c r="M54" s="167"/>
      <c r="N54" s="167"/>
      <c r="O54" s="167"/>
    </row>
    <row r="55" spans="1:15" s="65" customFormat="1" ht="16.5" thickBot="1" x14ac:dyDescent="0.3">
      <c r="A55" s="164">
        <v>34</v>
      </c>
      <c r="B55" s="65" t="s">
        <v>363</v>
      </c>
      <c r="E55" s="181">
        <f>E52/E53</f>
        <v>11506.625</v>
      </c>
      <c r="F55" s="175"/>
      <c r="G55" s="181">
        <f>G52/G53</f>
        <v>11082.5</v>
      </c>
      <c r="H55" s="175"/>
      <c r="I55" s="181">
        <f>+G55-E55</f>
        <v>-424.125</v>
      </c>
      <c r="J55" s="167"/>
      <c r="K55" s="167"/>
      <c r="L55" s="167"/>
      <c r="M55" s="167"/>
      <c r="N55" s="167"/>
      <c r="O55" s="167"/>
    </row>
    <row r="56" spans="1:15" s="65" customFormat="1" ht="6" customHeight="1" thickTop="1" x14ac:dyDescent="0.25">
      <c r="A56" s="164"/>
      <c r="J56" s="167"/>
      <c r="K56" s="167"/>
      <c r="L56" s="167"/>
      <c r="M56" s="167"/>
      <c r="N56" s="167"/>
      <c r="O56" s="167"/>
    </row>
  </sheetData>
  <mergeCells count="8">
    <mergeCell ref="B4:I4"/>
    <mergeCell ref="B5:I5"/>
    <mergeCell ref="B7:I7"/>
    <mergeCell ref="B45:I45"/>
    <mergeCell ref="B11:C11"/>
    <mergeCell ref="B12:C12"/>
    <mergeCell ref="B30:C30"/>
    <mergeCell ref="B29:C29"/>
  </mergeCells>
  <phoneticPr fontId="7" type="noConversion"/>
  <printOptions horizontalCentered="1"/>
  <pageMargins left="0.25" right="0.25" top="0.5" bottom="0.5" header="0.5" footer="0.5"/>
  <pageSetup scale="79" orientation="portrait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62C1BAB7D1B4998D0BFFEC59B8AD2" ma:contentTypeVersion="26" ma:contentTypeDescription="Create a new document." ma:contentTypeScope="" ma:versionID="74c5940f497891f254bc15682dd452d1">
  <xsd:schema xmlns:xsd="http://www.w3.org/2001/XMLSchema" xmlns:xs="http://www.w3.org/2001/XMLSchema" xmlns:p="http://schemas.microsoft.com/office/2006/metadata/properties" xmlns:ns1="http://schemas.microsoft.com/sharepoint/v3" xmlns:ns2="621b3311-adc9-44a7-af0e-36067350c19c" xmlns:ns3="99180bc4-2f7d-45e7-9e22-353907fb92c6" xmlns:ns4="f5536f26-5d7e-4d2b-a510-6667eeb1ad7c" xmlns:ns5="ddb5066c-6899-482b-9ea0-5145f9da9989" targetNamespace="http://schemas.microsoft.com/office/2006/metadata/properties" ma:root="true" ma:fieldsID="fe85ad5fc585b86e243c3c53079c0e90" ns1:_="" ns2:_="" ns3:_="" ns4:_="" ns5:_="">
    <xsd:import namespace="http://schemas.microsoft.com/sharepoint/v3"/>
    <xsd:import namespace="621b3311-adc9-44a7-af0e-36067350c19c"/>
    <xsd:import namespace="99180bc4-2f7d-45e7-9e22-353907fb92c6"/>
    <xsd:import namespace="f5536f26-5d7e-4d2b-a510-6667eeb1ad7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ObjectId" minOccurs="0"/>
                <xsd:element ref="ns2:ItemId" minOccurs="0"/>
                <xsd:element ref="ns2:ItemNumber" minOccurs="0"/>
                <xsd:element ref="ns2:ItemDate" minOccurs="0"/>
                <xsd:element ref="ns2:Filename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b3311-adc9-44a7-af0e-36067350c19c" elementFormDefault="qualified">
    <xsd:import namespace="http://schemas.microsoft.com/office/2006/documentManagement/types"/>
    <xsd:import namespace="http://schemas.microsoft.com/office/infopath/2007/PartnerControls"/>
    <xsd:element name="ObjectId" ma:index="2" nillable="true" ma:displayName="ObjectId" ma:internalName="ObjectId">
      <xsd:simpleType>
        <xsd:restriction base="dms:Text">
          <xsd:maxLength value="255"/>
        </xsd:restriction>
      </xsd:simpleType>
    </xsd:element>
    <xsd:element name="ItemId" ma:index="3" nillable="true" ma:displayName="ItemId" ma:indexed="true" ma:internalName="ItemId">
      <xsd:simpleType>
        <xsd:restriction base="dms:Text">
          <xsd:maxLength value="255"/>
        </xsd:restriction>
      </xsd:simpleType>
    </xsd:element>
    <xsd:element name="ItemNumber" ma:index="4" nillable="true" ma:displayName="ItemNumber" ma:indexed="true" ma:internalName="ItemNumber">
      <xsd:simpleType>
        <xsd:restriction base="dms:Text">
          <xsd:maxLength value="255"/>
        </xsd:restriction>
      </xsd:simpleType>
    </xsd:element>
    <xsd:element name="ItemDate" ma:index="5" nillable="true" ma:displayName="ItemDate" ma:format="DateOnly" ma:indexed="true" ma:internalName="ItemDate">
      <xsd:simpleType>
        <xsd:restriction base="dms:DateTime"/>
      </xsd:simpleType>
    </xsd:element>
    <xsd:element name="Filename" ma:index="6" nillable="true" ma:displayName="Filename" ma:internalName="File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80bc4-2f7d-45e7-9e22-353907fb92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36f26-5d7e-4d2b-a510-6667eeb1a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MediaServiceAutoTags" ma:internalName="MediaServiceAutoTags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a6e7e882-9704-4d77-9765-cf8fe4d68a88}" ma:internalName="TaxCatchAll" ma:showField="CatchAllData" ma:web="fe36f78b-f2f5-469e-9861-ee46cd4ff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db5066c-6899-482b-9ea0-5145f9da9989" xsi:nil="true"/>
    <_ip_UnifiedCompliancePolicyProperties xmlns="http://schemas.microsoft.com/sharepoint/v3" xsi:nil="true"/>
    <lcf76f155ced4ddcb4097134ff3c332f xmlns="f5536f26-5d7e-4d2b-a510-6667eeb1ad7c">
      <Terms xmlns="http://schemas.microsoft.com/office/infopath/2007/PartnerControls"/>
    </lcf76f155ced4ddcb4097134ff3c332f>
    <ItemNumber xmlns="621b3311-adc9-44a7-af0e-36067350c19c" xsi:nil="true"/>
    <ItemId xmlns="621b3311-adc9-44a7-af0e-36067350c19c" xsi:nil="true"/>
    <ItemDate xmlns="621b3311-adc9-44a7-af0e-36067350c19c" xsi:nil="true"/>
    <Filename xmlns="621b3311-adc9-44a7-af0e-36067350c19c" xsi:nil="true"/>
    <ObjectId xmlns="621b3311-adc9-44a7-af0e-36067350c19c" xsi:nil="true"/>
  </documentManagement>
</p:properties>
</file>

<file path=customXml/itemProps1.xml><?xml version="1.0" encoding="utf-8"?>
<ds:datastoreItem xmlns:ds="http://schemas.openxmlformats.org/officeDocument/2006/customXml" ds:itemID="{5835A3D3-5062-4287-BCBE-09A6C796C75F}"/>
</file>

<file path=customXml/itemProps2.xml><?xml version="1.0" encoding="utf-8"?>
<ds:datastoreItem xmlns:ds="http://schemas.openxmlformats.org/officeDocument/2006/customXml" ds:itemID="{46886436-290B-495F-B5DE-2C3A7CB9A6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A34948-6169-4590-B1D4-C9E2E84AE61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b5066c-6899-482b-9ea0-5145f9da9989"/>
    <ds:schemaRef ds:uri="7558938a-8a22-4524-afb0-58b1650293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Cover Page</vt:lpstr>
      <vt:lpstr>Inputs</vt:lpstr>
      <vt:lpstr>Sch 1</vt:lpstr>
      <vt:lpstr>Sch 2 - BS</vt:lpstr>
      <vt:lpstr>Sch 3 - IS</vt:lpstr>
      <vt:lpstr>Sch 4</vt:lpstr>
      <vt:lpstr>Sch 5 - Inc Adj</vt:lpstr>
      <vt:lpstr>Sch 6 - Exp Adj</vt:lpstr>
      <vt:lpstr>Sch 7 - Rate Base</vt:lpstr>
      <vt:lpstr>Sch 8 - Capital Structure</vt:lpstr>
      <vt:lpstr>Sch 9 - Tariff</vt:lpstr>
      <vt:lpstr>Workpapers</vt:lpstr>
      <vt:lpstr>NOI</vt:lpstr>
      <vt:lpstr>'Sch 1'!Print_Area</vt:lpstr>
      <vt:lpstr>'Sch 2 - BS'!Print_Area</vt:lpstr>
      <vt:lpstr>'Sch 3 - IS'!Print_Area</vt:lpstr>
      <vt:lpstr>'Sch 4'!Print_Area</vt:lpstr>
      <vt:lpstr>'Sch 5 - Inc Adj'!Print_Area</vt:lpstr>
      <vt:lpstr>'Sch 6 - Exp Adj'!Print_Area</vt:lpstr>
      <vt:lpstr>'Sch 7 - Rate Base'!Print_Area</vt:lpstr>
      <vt:lpstr>'Sch 8 - Capital Structure'!Print_Area</vt:lpstr>
      <vt:lpstr>'Sch 9 - Tariff'!Print_Area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Indiana</dc:creator>
  <cp:keywords/>
  <dc:description/>
  <cp:lastModifiedBy>Bruce, Carla</cp:lastModifiedBy>
  <cp:revision/>
  <dcterms:created xsi:type="dcterms:W3CDTF">2006-03-07T16:03:17Z</dcterms:created>
  <dcterms:modified xsi:type="dcterms:W3CDTF">2024-12-16T22:23:23Z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{ECC4E7E3-42F7-411B-8333-1C45A8B9065B}</vt:lpwstr>
  </property>
  <property fmtid="{D5CDD505-2E9C-101B-9397-08002B2CF9AE}" pid="3" name="ContentTypeId">
    <vt:lpwstr>0x01010017F62C1BAB7D1B4998D0BFFEC59B8AD2</vt:lpwstr>
  </property>
  <property fmtid="{D5CDD505-2E9C-101B-9397-08002B2CF9AE}" pid="4" name="MediaServiceImageTags">
    <vt:lpwstr/>
  </property>
</Properties>
</file>