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CBruce\Desktop\FILINGS\"/>
    </mc:Choice>
  </mc:AlternateContent>
  <xr:revisionPtr revIDLastSave="0" documentId="8_{DC23F49C-DF7B-4131-85DC-2733C8CEABBC}" xr6:coauthVersionLast="47" xr6:coauthVersionMax="47" xr10:uidLastSave="{00000000-0000-0000-0000-000000000000}"/>
  <bookViews>
    <workbookView xWindow="28680" yWindow="-120" windowWidth="19440" windowHeight="15000" xr2:uid="{D405D66D-97F3-4DC4-B206-E9D5249AD080}"/>
  </bookViews>
  <sheets>
    <sheet name="Sheet1" sheetId="11" r:id="rId1"/>
    <sheet name="Rate Average Summary" sheetId="7" r:id="rId2"/>
    <sheet name="Rate Comparisons - Summary - V1" sheetId="8" r:id="rId3"/>
    <sheet name="Rate Comparisons - Summary - V2" sheetId="10"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8" l="1"/>
  <c r="H55" i="8"/>
  <c r="F55" i="8"/>
  <c r="H51" i="8"/>
  <c r="E51" i="8"/>
  <c r="J8" i="7"/>
  <c r="J4" i="7"/>
  <c r="J22" i="7"/>
  <c r="J18" i="7"/>
  <c r="G22" i="7"/>
  <c r="H18" i="7"/>
  <c r="I18" i="7" s="1"/>
  <c r="G18" i="7"/>
  <c r="G8" i="7"/>
  <c r="G4" i="7"/>
  <c r="H4" i="7" s="1"/>
  <c r="L51" i="8"/>
  <c r="L52" i="8" s="1"/>
  <c r="L44" i="8"/>
  <c r="L27" i="8"/>
  <c r="L29" i="8" s="1"/>
  <c r="L20" i="8"/>
  <c r="L19" i="8"/>
  <c r="L17" i="8"/>
  <c r="L15" i="8"/>
  <c r="L14" i="8"/>
  <c r="L12" i="8"/>
  <c r="L10" i="8"/>
  <c r="L9" i="8"/>
  <c r="J65" i="10"/>
  <c r="J66" i="10" s="1"/>
  <c r="H65" i="10"/>
  <c r="I65" i="10"/>
  <c r="J55" i="10"/>
  <c r="F92" i="10"/>
  <c r="F91" i="10"/>
  <c r="F90" i="10"/>
  <c r="F89" i="10"/>
  <c r="D93" i="10"/>
  <c r="J32" i="10"/>
  <c r="J34" i="10"/>
  <c r="J24" i="10"/>
  <c r="J23" i="10"/>
  <c r="J21" i="10"/>
  <c r="J19" i="10"/>
  <c r="J18" i="10"/>
  <c r="J16" i="10"/>
  <c r="J14" i="10"/>
  <c r="J13" i="10"/>
  <c r="H3" i="7"/>
  <c r="G3" i="7"/>
  <c r="J51" i="8"/>
  <c r="J52" i="8" s="1"/>
  <c r="J53" i="8" s="1"/>
  <c r="K51" i="8"/>
  <c r="K52" i="8" s="1"/>
  <c r="J27" i="8"/>
  <c r="J29" i="8" s="1"/>
  <c r="K27" i="8"/>
  <c r="K29" i="8" s="1"/>
  <c r="K31" i="8" s="1"/>
  <c r="K30" i="8"/>
  <c r="K20" i="8"/>
  <c r="J20" i="8"/>
  <c r="K19" i="8"/>
  <c r="K17" i="8"/>
  <c r="K15" i="8"/>
  <c r="J15" i="8"/>
  <c r="K14" i="8"/>
  <c r="J14" i="8"/>
  <c r="K12" i="8"/>
  <c r="K10" i="8"/>
  <c r="J10" i="8"/>
  <c r="K9" i="8"/>
  <c r="J9" i="8"/>
  <c r="I21" i="10"/>
  <c r="I34" i="10"/>
  <c r="I32" i="10"/>
  <c r="I24" i="10"/>
  <c r="I23" i="10"/>
  <c r="F84" i="10"/>
  <c r="F85" i="10"/>
  <c r="F86" i="10"/>
  <c r="F83" i="10"/>
  <c r="D87" i="10"/>
  <c r="I19" i="10"/>
  <c r="I18" i="10"/>
  <c r="I16" i="10"/>
  <c r="I14" i="10"/>
  <c r="I13" i="10"/>
  <c r="H13" i="10"/>
  <c r="H18" i="10"/>
  <c r="H14" i="10"/>
  <c r="H24" i="10"/>
  <c r="H34" i="10"/>
  <c r="H19" i="10"/>
  <c r="H32" i="10"/>
  <c r="F22" i="7"/>
  <c r="F18" i="7"/>
  <c r="G65" i="10"/>
  <c r="D65" i="10"/>
  <c r="E65" i="10"/>
  <c r="F65" i="10"/>
  <c r="F38" i="10"/>
  <c r="F40" i="10" s="1"/>
  <c r="F41" i="10" s="1"/>
  <c r="G38" i="10"/>
  <c r="G40" i="10" s="1"/>
  <c r="G41" i="10" s="1"/>
  <c r="E38" i="10"/>
  <c r="E40" i="10" s="1"/>
  <c r="E41" i="10" s="1"/>
  <c r="D38" i="10"/>
  <c r="D40" i="10" s="1"/>
  <c r="D41" i="10" s="1"/>
  <c r="G18" i="10"/>
  <c r="F18" i="10"/>
  <c r="E18" i="10"/>
  <c r="G14" i="10"/>
  <c r="F14" i="10"/>
  <c r="E14" i="10"/>
  <c r="D51" i="8"/>
  <c r="D27" i="8"/>
  <c r="D29" i="8" s="1"/>
  <c r="H21" i="8"/>
  <c r="H22" i="8"/>
  <c r="H23" i="8"/>
  <c r="H24" i="8"/>
  <c r="H25" i="8"/>
  <c r="H20" i="8"/>
  <c r="H7" i="8"/>
  <c r="H8" i="8"/>
  <c r="F7" i="8"/>
  <c r="I14" i="8"/>
  <c r="G14" i="8"/>
  <c r="H14" i="8" s="1"/>
  <c r="E14" i="8"/>
  <c r="I10" i="8"/>
  <c r="I27" i="8" s="1"/>
  <c r="I29" i="8" s="1"/>
  <c r="G10" i="8"/>
  <c r="G27" i="8" s="1"/>
  <c r="G29" i="8" s="1"/>
  <c r="E10" i="8"/>
  <c r="E27" i="8" s="1"/>
  <c r="E29" i="8" s="1"/>
  <c r="H11" i="8"/>
  <c r="F11" i="8"/>
  <c r="F8" i="8"/>
  <c r="H44" i="8"/>
  <c r="H45" i="8"/>
  <c r="H46" i="8"/>
  <c r="H47" i="8"/>
  <c r="H48" i="8"/>
  <c r="H43" i="8"/>
  <c r="I51" i="8"/>
  <c r="G51" i="8"/>
  <c r="F48" i="8"/>
  <c r="F47" i="8"/>
  <c r="F46" i="8"/>
  <c r="F45" i="8"/>
  <c r="F44" i="8"/>
  <c r="F43" i="8"/>
  <c r="H15" i="8"/>
  <c r="H17" i="8"/>
  <c r="H18" i="8"/>
  <c r="H19" i="8"/>
  <c r="H12" i="8"/>
  <c r="H13" i="8"/>
  <c r="H9" i="8"/>
  <c r="F9" i="8"/>
  <c r="F12" i="8"/>
  <c r="F13" i="8"/>
  <c r="F14" i="8"/>
  <c r="F15" i="8"/>
  <c r="F17" i="8"/>
  <c r="F18" i="8"/>
  <c r="F19" i="8"/>
  <c r="F8" i="7"/>
  <c r="F4" i="7"/>
  <c r="H22" i="7" l="1"/>
  <c r="I22" i="7" s="1"/>
  <c r="H8" i="7"/>
  <c r="I8" i="7" s="1"/>
  <c r="I4" i="7"/>
  <c r="L53" i="8"/>
  <c r="L30" i="8"/>
  <c r="L31" i="8" s="1"/>
  <c r="F93" i="10"/>
  <c r="G93" i="10" s="1"/>
  <c r="H66" i="10"/>
  <c r="H67" i="10" s="1"/>
  <c r="E42" i="10"/>
  <c r="E43" i="10" s="1"/>
  <c r="C21" i="7" s="1"/>
  <c r="F42" i="10"/>
  <c r="F43" i="10" s="1"/>
  <c r="D21" i="7" s="1"/>
  <c r="D23" i="7" s="1"/>
  <c r="G42" i="10"/>
  <c r="G43" i="10" s="1"/>
  <c r="E21" i="7" s="1"/>
  <c r="E23" i="7" s="1"/>
  <c r="I38" i="10"/>
  <c r="I40" i="10" s="1"/>
  <c r="I41" i="10" s="1"/>
  <c r="I42" i="10" s="1"/>
  <c r="I43" i="10" s="1"/>
  <c r="H21" i="7" s="1"/>
  <c r="H23" i="7" s="1"/>
  <c r="F87" i="10"/>
  <c r="G87" i="10" s="1"/>
  <c r="J67" i="10"/>
  <c r="J38" i="10"/>
  <c r="J40" i="10" s="1"/>
  <c r="J41" i="10" s="1"/>
  <c r="J42" i="10" s="1"/>
  <c r="J43" i="10" s="1"/>
  <c r="I21" i="7" s="1"/>
  <c r="K53" i="8"/>
  <c r="J54" i="8"/>
  <c r="J55" i="8" s="1"/>
  <c r="H5" i="7" s="1"/>
  <c r="K32" i="8"/>
  <c r="K33" i="8" s="1"/>
  <c r="H7" i="7" s="1"/>
  <c r="J30" i="8"/>
  <c r="J31" i="8" s="1"/>
  <c r="F27" i="8"/>
  <c r="F51" i="8"/>
  <c r="H27" i="8"/>
  <c r="H10" i="8"/>
  <c r="I66" i="10"/>
  <c r="I67" i="10" s="1"/>
  <c r="H38" i="10"/>
  <c r="H40" i="10" s="1"/>
  <c r="H41" i="10" s="1"/>
  <c r="F29" i="8"/>
  <c r="H29" i="8"/>
  <c r="D42" i="10"/>
  <c r="D43" i="10" s="1"/>
  <c r="D66" i="10"/>
  <c r="D67" i="10" s="1"/>
  <c r="E66" i="10"/>
  <c r="E67" i="10" s="1"/>
  <c r="F66" i="10"/>
  <c r="F67" i="10" s="1"/>
  <c r="G66" i="10"/>
  <c r="G67" i="10" s="1"/>
  <c r="D52" i="8"/>
  <c r="D53" i="8" s="1"/>
  <c r="E52" i="8"/>
  <c r="E53" i="8" s="1"/>
  <c r="G52" i="8"/>
  <c r="G53" i="8" s="1"/>
  <c r="I52" i="8"/>
  <c r="I53" i="8" s="1"/>
  <c r="D30" i="8"/>
  <c r="D31" i="8" s="1"/>
  <c r="E30" i="8"/>
  <c r="E31" i="8" s="1"/>
  <c r="G30" i="8"/>
  <c r="G31" i="8" s="1"/>
  <c r="I30" i="8"/>
  <c r="I31" i="8" s="1"/>
  <c r="I23" i="7" l="1"/>
  <c r="L54" i="8"/>
  <c r="L55" i="8"/>
  <c r="I3" i="7" s="1"/>
  <c r="I5" i="7" s="1"/>
  <c r="L32" i="8"/>
  <c r="L33" i="8"/>
  <c r="I7" i="7" s="1"/>
  <c r="I9" i="7" s="1"/>
  <c r="H68" i="10"/>
  <c r="H69" i="10" s="1"/>
  <c r="G17" i="7" s="1"/>
  <c r="C23" i="7"/>
  <c r="F21" i="7"/>
  <c r="F23" i="7" s="1"/>
  <c r="J68" i="10"/>
  <c r="J69" i="10" s="1"/>
  <c r="I17" i="7" s="1"/>
  <c r="I19" i="7" s="1"/>
  <c r="K54" i="8"/>
  <c r="K55" i="8" s="1"/>
  <c r="J32" i="8"/>
  <c r="J33" i="8"/>
  <c r="I68" i="10"/>
  <c r="I69" i="10" s="1"/>
  <c r="H17" i="7" s="1"/>
  <c r="H19" i="7" s="1"/>
  <c r="H42" i="10"/>
  <c r="H43" i="10" s="1"/>
  <c r="G21" i="7" s="1"/>
  <c r="G23" i="7" s="1"/>
  <c r="G68" i="10"/>
  <c r="G69" i="10" s="1"/>
  <c r="E17" i="7" s="1"/>
  <c r="E19" i="7" s="1"/>
  <c r="F68" i="10"/>
  <c r="F69" i="10" s="1"/>
  <c r="D17" i="7" s="1"/>
  <c r="D19" i="7" s="1"/>
  <c r="E68" i="10"/>
  <c r="E69" i="10" s="1"/>
  <c r="C17" i="7" s="1"/>
  <c r="D68" i="10"/>
  <c r="D69" i="10" s="1"/>
  <c r="I54" i="8"/>
  <c r="I55" i="8" s="1"/>
  <c r="G54" i="8"/>
  <c r="G55" i="8" s="1"/>
  <c r="D3" i="7" s="1"/>
  <c r="D5" i="7" s="1"/>
  <c r="E54" i="8"/>
  <c r="E55" i="8" s="1"/>
  <c r="C3" i="7" s="1"/>
  <c r="C5" i="7" s="1"/>
  <c r="D54" i="8"/>
  <c r="D55" i="8" s="1"/>
  <c r="I32" i="8"/>
  <c r="I33" i="8" s="1"/>
  <c r="G32" i="8"/>
  <c r="G33" i="8" s="1"/>
  <c r="D7" i="7" s="1"/>
  <c r="D9" i="7" s="1"/>
  <c r="E32" i="8"/>
  <c r="E33" i="8" s="1"/>
  <c r="C7" i="7" s="1"/>
  <c r="C9" i="7" s="1"/>
  <c r="D32" i="8"/>
  <c r="D33" i="8" s="1"/>
  <c r="H9" i="7" l="1"/>
  <c r="G7" i="7"/>
  <c r="J21" i="7"/>
  <c r="J23" i="7" s="1"/>
  <c r="E3" i="7"/>
  <c r="E7" i="7"/>
  <c r="J17" i="7"/>
  <c r="J19" i="7" s="1"/>
  <c r="G19" i="7"/>
  <c r="C19" i="7"/>
  <c r="F17" i="7"/>
  <c r="F19" i="7" s="1"/>
  <c r="E5" i="7"/>
  <c r="F3" i="7"/>
  <c r="F5" i="7" s="1"/>
  <c r="E9" i="7"/>
  <c r="F7" i="7"/>
  <c r="F9" i="7" s="1"/>
  <c r="F33" i="8"/>
  <c r="H33" i="8"/>
  <c r="J7" i="7" l="1"/>
  <c r="J9" i="7" s="1"/>
  <c r="G9" i="7"/>
  <c r="J3" i="7"/>
  <c r="J5" i="7" s="1"/>
  <c r="G5" i="7"/>
</calcChain>
</file>

<file path=xl/sharedStrings.xml><?xml version="1.0" encoding="utf-8"?>
<sst xmlns="http://schemas.openxmlformats.org/spreadsheetml/2006/main" count="300" uniqueCount="136">
  <si>
    <t>IURC Cause No. 45843</t>
  </si>
  <si>
    <t xml:space="preserve">On Behalf of Indianapolis Power and Light d/b/a AES Indiana </t>
  </si>
  <si>
    <t>Second Quarterly Report Workpapers 1-3</t>
  </si>
  <si>
    <t>V1</t>
  </si>
  <si>
    <t>Q1</t>
  </si>
  <si>
    <t>Q2</t>
  </si>
  <si>
    <t>Q3</t>
  </si>
  <si>
    <t>Q4</t>
  </si>
  <si>
    <t>Criteria</t>
  </si>
  <si>
    <t>DCFC</t>
  </si>
  <si>
    <t>24/7 public access</t>
  </si>
  <si>
    <t>AES</t>
  </si>
  <si>
    <t>Free parking, paid charging</t>
  </si>
  <si>
    <t>Variance</t>
  </si>
  <si>
    <t>EVP</t>
  </si>
  <si>
    <t>*Rates are sourced from PlugShare, ChargeLab, ChargePoint, and Tesla. This is a shift away from solely PlugShare as the site has experienced many bugs and outages in 2024.</t>
  </si>
  <si>
    <t xml:space="preserve">As there seems to be a degree of shifting up and down on a monthly basis, I would recommend filing rate adjustments on a quarterly basis until the market rates stabilize or forecasting improves. </t>
  </si>
  <si>
    <t>V2</t>
  </si>
  <si>
    <t xml:space="preserve">**V2: Since the initial report, several sites have shifted to private or implemented a flat fee to cover the cost of previously "free" charging sites. Any site offline, or no longer a 1:1 comparision has been shifted to a reporting only status where the rate is tracked by not included in the V2 model. Likewise any sites that now meet this criteria are included in the calculations to continually improve accuracy through a larger sample size. For transparency purposes, V1 is provided to demonstrate the difference in rate averages that this change has made, however it is our reccomendation to utilize the V2 report moving forward to determine fair market pricing. </t>
  </si>
  <si>
    <t>Rate Comparison - EVP</t>
  </si>
  <si>
    <t>IURC Order No. 45843 vs. Q1 2024 Market Rates</t>
  </si>
  <si>
    <t xml:space="preserve">Charging Station </t>
  </si>
  <si>
    <t>Address</t>
  </si>
  <si>
    <t>IURC Order No 45843</t>
  </si>
  <si>
    <t>Difference</t>
  </si>
  <si>
    <t>$/KWH</t>
  </si>
  <si>
    <t>Rolls Royce</t>
  </si>
  <si>
    <t>2355 S Tibbs Ave, Indianapolis, IN 46241, USA</t>
  </si>
  <si>
    <t>No Longer Public</t>
  </si>
  <si>
    <t>Airport</t>
  </si>
  <si>
    <t xml:space="preserve">7800 Col H Weir Cook Memorial Dr, Indianapolis, IN, 46241 </t>
  </si>
  <si>
    <t>Greenwood Park Mall</t>
  </si>
  <si>
    <t>611 E County Line Rd, Greenwood, IN 46142, USA</t>
  </si>
  <si>
    <t>Penrose</t>
  </si>
  <si>
    <t>530 Massachusetts Ave, Indianapolis, IN 46204, USA</t>
  </si>
  <si>
    <t>Market Tower</t>
  </si>
  <si>
    <t>139 N Illinois St, Indianapolis, IN 46204, USA</t>
  </si>
  <si>
    <t>Circle Centre Mall - Moon Garage</t>
  </si>
  <si>
    <t>49 W Maryland St Indianapolis, IN 46204, USA</t>
  </si>
  <si>
    <t>Indianapolis Public Library - Eagle Branch</t>
  </si>
  <si>
    <t>3905 Moller Rd, Indianapolis 46254</t>
  </si>
  <si>
    <t>Greenfield Area Chamber of Commerce</t>
  </si>
  <si>
    <t>6 W South St, Greenfield 46140</t>
  </si>
  <si>
    <t>Kohls</t>
  </si>
  <si>
    <t>9895 N Michigan Rd, Carmel 46032</t>
  </si>
  <si>
    <t>Mercedes Benz Of Indianapolis</t>
  </si>
  <si>
    <t>4000 E 96th St, Indianapolis 46240</t>
  </si>
  <si>
    <t>OFFLINE</t>
  </si>
  <si>
    <t>REMOVED</t>
  </si>
  <si>
    <t>Fashion Mall</t>
  </si>
  <si>
    <t>8702 Keystone Crossing, Indianapolis, IN 46240, USA</t>
  </si>
  <si>
    <t>Castleton Square Mall</t>
  </si>
  <si>
    <t>6020 E 82nd St, Indianapolis 46250</t>
  </si>
  <si>
    <t>YMCA</t>
  </si>
  <si>
    <t>2120 Intelliplex Dr, Shelbyville 46176</t>
  </si>
  <si>
    <t>Simon Tower</t>
  </si>
  <si>
    <t>305 W Washington St, Indianapolis</t>
  </si>
  <si>
    <t>NEW</t>
  </si>
  <si>
    <t>Monon 46</t>
  </si>
  <si>
    <t>4560 Ocean Street  Indianapolis, IN 46205</t>
  </si>
  <si>
    <t>Lee Supply</t>
  </si>
  <si>
    <t>6610 Guion Road Indianapolis, IN 46268</t>
  </si>
  <si>
    <t>Westfield HQ</t>
  </si>
  <si>
    <t>17219 Foundation Parkway, Westfield, IN, 46074</t>
  </si>
  <si>
    <t>Fastpark</t>
  </si>
  <si>
    <t>8550 Stansted Drive, Indianapolis, IN, 46241</t>
  </si>
  <si>
    <t>EMC SQUARED</t>
  </si>
  <si>
    <t>1250 Indiana Ave, Indianapolis</t>
  </si>
  <si>
    <t>A</t>
  </si>
  <si>
    <t>Average $KWH</t>
  </si>
  <si>
    <t>B</t>
  </si>
  <si>
    <r>
      <rPr>
        <sz val="11"/>
        <color rgb="FF000000"/>
        <rFont val="Calibri"/>
        <family val="2"/>
      </rPr>
      <t>Rate SS</t>
    </r>
    <r>
      <rPr>
        <i/>
        <sz val="9"/>
        <color rgb="FF000000"/>
        <rFont val="Calibri"/>
        <family val="2"/>
      </rPr>
      <t xml:space="preserve"> (Reflective of Customer "free" charging)</t>
    </r>
  </si>
  <si>
    <t>C</t>
  </si>
  <si>
    <t>A+B/2</t>
  </si>
  <si>
    <t>D</t>
  </si>
  <si>
    <t>Utility Receipts Tax (1.4%)</t>
  </si>
  <si>
    <t>E</t>
  </si>
  <si>
    <t>C+D</t>
  </si>
  <si>
    <t>F</t>
  </si>
  <si>
    <t>Sales Tax (7%)</t>
  </si>
  <si>
    <t>G</t>
  </si>
  <si>
    <t>E+F: Average Rate</t>
  </si>
  <si>
    <t>Rate Comparison - DCFC</t>
  </si>
  <si>
    <t>IURC Order No. 45843</t>
  </si>
  <si>
    <t>8702 Keystone Crossing, Indianapolis, IN 46240</t>
  </si>
  <si>
    <t>Meijer</t>
  </si>
  <si>
    <t>8375 E 96th Street, Indianapolis, Indiana, 46256, US</t>
  </si>
  <si>
    <t>Walmart</t>
  </si>
  <si>
    <t>4650 South Emerson Avenue, Indianapolis, Indiana, 46203, US</t>
  </si>
  <si>
    <t>Chase Bank</t>
  </si>
  <si>
    <t>14801 Thatcher Ln, Carmel, IN 46032, USA</t>
  </si>
  <si>
    <t>IMPA</t>
  </si>
  <si>
    <t>11610 N College Ave, Carmel 46032</t>
  </si>
  <si>
    <t>Hamilton Town Center</t>
  </si>
  <si>
    <t>13901 Town Center Blvd, Noblesville, IN 46060, USA</t>
  </si>
  <si>
    <t>5325 E Southport Rd Indianapolis , IN 46237</t>
  </si>
  <si>
    <t>A+B</t>
  </si>
  <si>
    <t>C+D: Average Rate</t>
  </si>
  <si>
    <t>From Filing:</t>
  </si>
  <si>
    <t>Notes/Color Key</t>
  </si>
  <si>
    <t xml:space="preserve">Rate SS/Free Charging Excluded - most "free" sites that remain are either private or limited access and have flat rate parking fee associated. Not reflective of public L2 charging business models. </t>
  </si>
  <si>
    <t>Flat fee charging excluded as these aren't 1:1 comparisions with the price per kWh model and skew averages considerably. Data is still collected for transparency but isnt used in rate calculations.</t>
  </si>
  <si>
    <t xml:space="preserve">EVgo sites have rates that are weighted averages as they enforce demand based rates depending on the time of day. </t>
  </si>
  <si>
    <t>Added January 2024</t>
  </si>
  <si>
    <t>1250 Indiana Avenue, Indianapolis, IN, 46202</t>
  </si>
  <si>
    <t>Indianapolis Parking</t>
  </si>
  <si>
    <t>502 North Illinois Street Indianapolis, IN 46204</t>
  </si>
  <si>
    <t>Added April 2024</t>
  </si>
  <si>
    <t>Bank of America Financial Center</t>
  </si>
  <si>
    <t>301 East Market Street Indianapolis, IN 46204</t>
  </si>
  <si>
    <t>Indianapolis Public Library - Fort Ben Branch</t>
  </si>
  <si>
    <t>9330 East 56th Street, Indianapolis, IN, 46216</t>
  </si>
  <si>
    <t>Muse Carmel Apartment</t>
  </si>
  <si>
    <t>1685 East 116th Street, Carmel, IN, 46032</t>
  </si>
  <si>
    <t>Indianapolis Public Library - West Perry Branch</t>
  </si>
  <si>
    <t>6650 South Harding Street, Indianapolis, IN, 46217</t>
  </si>
  <si>
    <r>
      <rPr>
        <sz val="11"/>
        <color rgb="FF000000"/>
        <rFont val="Calibri"/>
        <family val="2"/>
      </rPr>
      <t>Rate SS</t>
    </r>
    <r>
      <rPr>
        <i/>
        <sz val="9"/>
        <color rgb="FF000000"/>
        <rFont val="Calibri"/>
        <family val="2"/>
      </rPr>
      <t xml:space="preserve"> (Reflective of Customer "free" charging 0.089)</t>
    </r>
  </si>
  <si>
    <t>Discont. See Note 1</t>
  </si>
  <si>
    <t>A+C</t>
  </si>
  <si>
    <t>E+D: Average Rate</t>
  </si>
  <si>
    <t>Added March 2024</t>
  </si>
  <si>
    <t>11351 E Washington St, Indianapolis, Indiana 46229</t>
  </si>
  <si>
    <t>Waterway Boulevard</t>
  </si>
  <si>
    <t>1220 Waterway Blvd Indianapolis IN 46202</t>
  </si>
  <si>
    <t>Rate Available - June 2024</t>
  </si>
  <si>
    <t>GetGo Cafe &amp; Market</t>
  </si>
  <si>
    <t>6311 Crawfordsville Road Speedway, IN 46224</t>
  </si>
  <si>
    <t>EVGo Rate Modeling</t>
  </si>
  <si>
    <t>12 AM - 8AM</t>
  </si>
  <si>
    <t>8AM - 2PM</t>
  </si>
  <si>
    <t>2PM-9PM</t>
  </si>
  <si>
    <t>9PM-12AM</t>
  </si>
  <si>
    <t>EVGo Rate Modeling - Summer</t>
  </si>
  <si>
    <t>8AM - 11AM</t>
  </si>
  <si>
    <t>11AM-6PM</t>
  </si>
  <si>
    <t>6PM-12AM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</si>
</sst>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409]* #,##0.00_);_([$$-409]* \(#,##0.00\);_([$$-409]* &quot;-&quot;??_);_(@_)"/>
  </numFmts>
  <fonts count="21"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sz val="11"/>
      <color rgb="FF000000"/>
      <name val="Calibri"/>
      <family val="2"/>
    </font>
    <font>
      <b/>
      <sz val="11"/>
      <color rgb="FF000000"/>
      <name val="Calibri"/>
      <family val="2"/>
    </font>
    <font>
      <sz val="11"/>
      <color rgb="FF000000"/>
      <name val="Calibri"/>
      <family val="2"/>
      <scheme val="minor"/>
    </font>
    <font>
      <b/>
      <sz val="11"/>
      <color rgb="FF000000"/>
      <name val="Calibri"/>
      <family val="2"/>
      <scheme val="minor"/>
    </font>
    <font>
      <sz val="11"/>
      <color theme="2"/>
      <name val="Calibri"/>
      <family val="2"/>
      <scheme val="minor"/>
    </font>
    <font>
      <i/>
      <sz val="9"/>
      <color rgb="FF000000"/>
      <name val="Calibri"/>
      <family val="2"/>
    </font>
    <font>
      <i/>
      <sz val="11"/>
      <color rgb="FFFF0000"/>
      <name val="Calibri"/>
      <family val="2"/>
    </font>
    <font>
      <i/>
      <sz val="11"/>
      <color rgb="FF000000"/>
      <name val="Calibri"/>
      <family val="2"/>
      <scheme val="minor"/>
    </font>
    <font>
      <i/>
      <sz val="9"/>
      <color theme="1"/>
      <name val="Calibri"/>
      <family val="2"/>
      <scheme val="minor"/>
    </font>
    <font>
      <i/>
      <sz val="9"/>
      <color rgb="FFFF0000"/>
      <name val="Calibri"/>
      <family val="2"/>
      <scheme val="minor"/>
    </font>
    <font>
      <i/>
      <sz val="9"/>
      <color rgb="FF292929"/>
      <name val="Roboto"/>
      <family val="2"/>
      <charset val="1"/>
    </font>
    <font>
      <i/>
      <sz val="11"/>
      <color rgb="FF000000"/>
      <name val="Calibri"/>
      <family val="2"/>
    </font>
    <font>
      <i/>
      <sz val="10"/>
      <color theme="1"/>
      <name val="Calibri"/>
      <family val="2"/>
      <scheme val="minor"/>
    </font>
    <font>
      <sz val="11"/>
      <color theme="1"/>
      <name val="Calibri"/>
      <family val="2"/>
      <scheme val="minor"/>
    </font>
    <font>
      <sz val="8"/>
      <name val="Calibri"/>
      <family val="2"/>
      <scheme val="minor"/>
    </font>
    <font>
      <i/>
      <sz val="10"/>
      <color rgb="FFFF000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medium">
        <color rgb="FF000000"/>
      </left>
      <right style="medium">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000000"/>
      </top>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rgb="FF000000"/>
      </top>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right style="medium">
        <color indexed="64"/>
      </right>
      <top/>
      <bottom/>
      <diagonal/>
    </border>
  </borders>
  <cellStyleXfs count="3">
    <xf numFmtId="0" fontId="0" fillId="0" borderId="0"/>
    <xf numFmtId="0" fontId="2" fillId="0" borderId="0" applyNumberFormat="0" applyFill="0" applyBorder="0" applyAlignment="0" applyProtection="0"/>
    <xf numFmtId="44" fontId="18" fillId="0" borderId="0" applyFont="0" applyFill="0" applyBorder="0" applyAlignment="0" applyProtection="0"/>
  </cellStyleXfs>
  <cellXfs count="188">
    <xf numFmtId="0" fontId="0" fillId="0" borderId="0" xfId="0"/>
    <xf numFmtId="164" fontId="0" fillId="0" borderId="0" xfId="0" applyNumberFormat="1"/>
    <xf numFmtId="0" fontId="0" fillId="0" borderId="0" xfId="0" applyAlignment="1">
      <alignment horizontal="right"/>
    </xf>
    <xf numFmtId="0" fontId="1" fillId="0" borderId="0" xfId="0" applyFont="1"/>
    <xf numFmtId="0" fontId="0" fillId="0" borderId="0" xfId="0" applyAlignment="1">
      <alignment horizontal="center" vertical="center"/>
    </xf>
    <xf numFmtId="165" fontId="0" fillId="0" borderId="0" xfId="0" applyNumberFormat="1"/>
    <xf numFmtId="0" fontId="0" fillId="0" borderId="1" xfId="0" applyBorder="1"/>
    <xf numFmtId="165" fontId="0" fillId="0" borderId="1" xfId="0" applyNumberFormat="1" applyBorder="1"/>
    <xf numFmtId="165" fontId="1" fillId="0" borderId="3" xfId="0" applyNumberFormat="1" applyFont="1" applyBorder="1"/>
    <xf numFmtId="165" fontId="0" fillId="0" borderId="5" xfId="0" applyNumberFormat="1" applyBorder="1"/>
    <xf numFmtId="0" fontId="0" fillId="0" borderId="6" xfId="0" applyBorder="1"/>
    <xf numFmtId="0" fontId="0" fillId="0" borderId="3" xfId="0" applyBorder="1"/>
    <xf numFmtId="0" fontId="0" fillId="0" borderId="4" xfId="0" applyBorder="1"/>
    <xf numFmtId="0" fontId="0" fillId="0" borderId="5" xfId="0" applyBorder="1"/>
    <xf numFmtId="0" fontId="0" fillId="0" borderId="12" xfId="0" applyBorder="1"/>
    <xf numFmtId="9" fontId="0" fillId="0" borderId="14" xfId="0" applyNumberFormat="1" applyBorder="1"/>
    <xf numFmtId="0" fontId="0" fillId="0" borderId="16" xfId="0" applyBorder="1"/>
    <xf numFmtId="0" fontId="0" fillId="0" borderId="14" xfId="0" applyBorder="1"/>
    <xf numFmtId="0" fontId="0" fillId="0" borderId="15" xfId="0" applyBorder="1"/>
    <xf numFmtId="0" fontId="0" fillId="0" borderId="2" xfId="0" applyBorder="1"/>
    <xf numFmtId="0" fontId="0" fillId="0" borderId="17" xfId="0" applyBorder="1" applyAlignment="1">
      <alignment horizontal="center" vertical="center"/>
    </xf>
    <xf numFmtId="0" fontId="0" fillId="0" borderId="18" xfId="0" applyBorder="1"/>
    <xf numFmtId="165" fontId="0" fillId="0" borderId="7" xfId="0" applyNumberFormat="1" applyBorder="1"/>
    <xf numFmtId="165" fontId="1" fillId="0" borderId="2" xfId="0" applyNumberFormat="1" applyFont="1" applyBorder="1"/>
    <xf numFmtId="0" fontId="0" fillId="0" borderId="10" xfId="0" applyBorder="1"/>
    <xf numFmtId="0" fontId="0" fillId="0" borderId="8" xfId="0" applyBorder="1"/>
    <xf numFmtId="0" fontId="0" fillId="0" borderId="9" xfId="0" applyBorder="1"/>
    <xf numFmtId="165" fontId="0" fillId="0" borderId="11" xfId="0" applyNumberFormat="1" applyBorder="1"/>
    <xf numFmtId="9" fontId="0" fillId="0" borderId="13" xfId="0" applyNumberFormat="1" applyBorder="1"/>
    <xf numFmtId="9" fontId="3" fillId="0" borderId="15" xfId="0" applyNumberFormat="1" applyFont="1" applyBorder="1"/>
    <xf numFmtId="9" fontId="4" fillId="0" borderId="4" xfId="0" applyNumberFormat="1" applyFont="1" applyBorder="1"/>
    <xf numFmtId="0" fontId="0" fillId="0" borderId="19" xfId="0" applyBorder="1"/>
    <xf numFmtId="0" fontId="0" fillId="0" borderId="20" xfId="0" applyBorder="1"/>
    <xf numFmtId="17" fontId="0" fillId="0" borderId="21" xfId="0" applyNumberFormat="1" applyBorder="1" applyAlignment="1">
      <alignment horizontal="center" vertical="center"/>
    </xf>
    <xf numFmtId="17" fontId="0" fillId="0" borderId="22" xfId="0" applyNumberFormat="1" applyBorder="1" applyAlignment="1">
      <alignment horizontal="center" vertical="center"/>
    </xf>
    <xf numFmtId="17" fontId="1" fillId="2" borderId="23" xfId="0" applyNumberFormat="1" applyFont="1" applyFill="1" applyBorder="1" applyAlignment="1">
      <alignment horizontal="center" vertical="center"/>
    </xf>
    <xf numFmtId="17" fontId="0" fillId="0" borderId="24" xfId="0" applyNumberFormat="1" applyBorder="1" applyAlignment="1">
      <alignment horizontal="center" vertical="center"/>
    </xf>
    <xf numFmtId="0" fontId="1" fillId="2" borderId="23" xfId="0" applyFont="1" applyFill="1" applyBorder="1" applyAlignment="1">
      <alignment horizontal="center" vertical="center"/>
    </xf>
    <xf numFmtId="0" fontId="1" fillId="0" borderId="25" xfId="0" applyFont="1" applyBorder="1"/>
    <xf numFmtId="0" fontId="0" fillId="0" borderId="25" xfId="0" applyBorder="1"/>
    <xf numFmtId="0" fontId="5" fillId="0" borderId="0" xfId="0" applyFont="1"/>
    <xf numFmtId="8" fontId="5" fillId="0" borderId="0" xfId="0" applyNumberFormat="1" applyFont="1"/>
    <xf numFmtId="165" fontId="5" fillId="0" borderId="0" xfId="0" applyNumberFormat="1" applyFont="1"/>
    <xf numFmtId="0" fontId="6" fillId="0" borderId="0" xfId="0" applyFont="1" applyAlignment="1">
      <alignment horizontal="center" vertical="center"/>
    </xf>
    <xf numFmtId="17" fontId="6" fillId="0" borderId="0" xfId="0" applyNumberFormat="1" applyFont="1" applyAlignment="1">
      <alignment horizontal="center" vertical="center"/>
    </xf>
    <xf numFmtId="165" fontId="3" fillId="0" borderId="0" xfId="0" applyNumberFormat="1" applyFont="1"/>
    <xf numFmtId="0" fontId="3" fillId="0" borderId="0" xfId="0" applyFont="1"/>
    <xf numFmtId="0" fontId="1" fillId="3" borderId="0" xfId="0" applyFont="1" applyFill="1"/>
    <xf numFmtId="165" fontId="7" fillId="0" borderId="0" xfId="0" applyNumberFormat="1" applyFont="1"/>
    <xf numFmtId="0" fontId="8" fillId="3" borderId="0" xfId="0" applyFont="1" applyFill="1"/>
    <xf numFmtId="9" fontId="3" fillId="0" borderId="13" xfId="0" applyNumberFormat="1" applyFont="1" applyBorder="1"/>
    <xf numFmtId="9" fontId="3" fillId="0" borderId="14" xfId="0" applyNumberFormat="1" applyFont="1" applyBorder="1"/>
    <xf numFmtId="0" fontId="9" fillId="0" borderId="0" xfId="0" applyFont="1"/>
    <xf numFmtId="0" fontId="5" fillId="0" borderId="26" xfId="0" applyFont="1" applyBorder="1"/>
    <xf numFmtId="165" fontId="5" fillId="0" borderId="26" xfId="0" applyNumberFormat="1" applyFont="1" applyBorder="1"/>
    <xf numFmtId="0" fontId="1" fillId="0" borderId="0" xfId="0" applyFont="1" applyAlignment="1">
      <alignment horizontal="right"/>
    </xf>
    <xf numFmtId="0" fontId="12" fillId="0" borderId="0" xfId="0" applyFont="1"/>
    <xf numFmtId="0" fontId="7" fillId="0" borderId="0" xfId="0" applyFont="1"/>
    <xf numFmtId="0" fontId="13" fillId="0" borderId="0" xfId="0" applyFont="1"/>
    <xf numFmtId="0" fontId="14" fillId="0" borderId="0" xfId="0" applyFont="1"/>
    <xf numFmtId="0" fontId="15" fillId="0" borderId="0" xfId="0" applyFont="1"/>
    <xf numFmtId="0" fontId="0" fillId="0" borderId="0" xfId="0" applyAlignment="1">
      <alignment horizontal="left" vertical="center" wrapText="1"/>
    </xf>
    <xf numFmtId="0" fontId="0" fillId="0" borderId="26" xfId="0" applyBorder="1"/>
    <xf numFmtId="0" fontId="0" fillId="4" borderId="1" xfId="0" applyFill="1" applyBorder="1" applyAlignment="1">
      <alignment horizontal="center" vertical="center"/>
    </xf>
    <xf numFmtId="0" fontId="0" fillId="6" borderId="1" xfId="0" applyFill="1" applyBorder="1" applyAlignment="1">
      <alignment horizontal="center" vertical="center"/>
    </xf>
    <xf numFmtId="0" fontId="0" fillId="5" borderId="27" xfId="0" applyFill="1" applyBorder="1" applyAlignment="1">
      <alignment horizontal="center" vertical="center"/>
    </xf>
    <xf numFmtId="0" fontId="0" fillId="0" borderId="28" xfId="0" applyBorder="1"/>
    <xf numFmtId="0" fontId="0" fillId="0" borderId="29" xfId="0" applyBorder="1"/>
    <xf numFmtId="0" fontId="0" fillId="0" borderId="30" xfId="0" applyBorder="1"/>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2" xfId="0" applyFont="1" applyBorder="1"/>
    <xf numFmtId="0" fontId="1" fillId="3" borderId="32" xfId="0" applyFont="1" applyFill="1" applyBorder="1"/>
    <xf numFmtId="0" fontId="0" fillId="0" borderId="34" xfId="0" applyBorder="1"/>
    <xf numFmtId="0" fontId="0" fillId="0" borderId="35" xfId="0" applyBorder="1"/>
    <xf numFmtId="165" fontId="5" fillId="5" borderId="37" xfId="0" applyNumberFormat="1" applyFont="1" applyFill="1" applyBorder="1"/>
    <xf numFmtId="165" fontId="0" fillId="4" borderId="37" xfId="0" applyNumberFormat="1" applyFill="1" applyBorder="1"/>
    <xf numFmtId="165" fontId="5" fillId="0" borderId="37" xfId="0" applyNumberFormat="1" applyFont="1" applyBorder="1"/>
    <xf numFmtId="165" fontId="5" fillId="4" borderId="37" xfId="0" applyNumberFormat="1" applyFont="1" applyFill="1" applyBorder="1"/>
    <xf numFmtId="165" fontId="5" fillId="0" borderId="36" xfId="0" applyNumberFormat="1" applyFont="1" applyBorder="1"/>
    <xf numFmtId="17" fontId="6" fillId="0" borderId="36" xfId="0" applyNumberFormat="1" applyFont="1" applyBorder="1" applyAlignment="1">
      <alignment horizontal="center" vertical="center"/>
    </xf>
    <xf numFmtId="0" fontId="3" fillId="4" borderId="37" xfId="0" applyFont="1" applyFill="1" applyBorder="1"/>
    <xf numFmtId="165" fontId="0" fillId="0" borderId="37" xfId="0" applyNumberFormat="1" applyBorder="1"/>
    <xf numFmtId="0" fontId="16" fillId="0" borderId="32" xfId="0" applyFont="1" applyBorder="1" applyAlignment="1">
      <alignment horizontal="center"/>
    </xf>
    <xf numFmtId="165" fontId="5" fillId="5" borderId="32" xfId="0" applyNumberFormat="1" applyFont="1" applyFill="1" applyBorder="1"/>
    <xf numFmtId="165" fontId="0" fillId="4" borderId="32" xfId="0" applyNumberFormat="1" applyFill="1" applyBorder="1"/>
    <xf numFmtId="165" fontId="5" fillId="0" borderId="32" xfId="0" applyNumberFormat="1" applyFont="1" applyBorder="1"/>
    <xf numFmtId="165" fontId="5" fillId="4" borderId="32" xfId="0" applyNumberFormat="1" applyFont="1" applyFill="1" applyBorder="1"/>
    <xf numFmtId="165" fontId="3" fillId="0" borderId="32" xfId="0" applyNumberFormat="1" applyFont="1" applyBorder="1"/>
    <xf numFmtId="165" fontId="5" fillId="0" borderId="31" xfId="0" applyNumberFormat="1" applyFont="1" applyBorder="1"/>
    <xf numFmtId="17" fontId="6" fillId="0" borderId="31" xfId="0" applyNumberFormat="1" applyFont="1" applyBorder="1" applyAlignment="1">
      <alignment horizontal="center" vertical="center"/>
    </xf>
    <xf numFmtId="0" fontId="3" fillId="4" borderId="32" xfId="0" applyFont="1" applyFill="1" applyBorder="1"/>
    <xf numFmtId="165" fontId="0" fillId="0" borderId="32" xfId="0" applyNumberFormat="1" applyBorder="1"/>
    <xf numFmtId="165" fontId="0" fillId="6" borderId="37" xfId="0" applyNumberFormat="1" applyFill="1" applyBorder="1"/>
    <xf numFmtId="0" fontId="6" fillId="0" borderId="23" xfId="0" applyFont="1" applyBorder="1" applyAlignment="1">
      <alignment horizontal="center" vertical="center"/>
    </xf>
    <xf numFmtId="0" fontId="16" fillId="0" borderId="25" xfId="0" applyFont="1" applyBorder="1" applyAlignment="1">
      <alignment horizontal="center"/>
    </xf>
    <xf numFmtId="165" fontId="5" fillId="5" borderId="25" xfId="0" applyNumberFormat="1" applyFont="1" applyFill="1" applyBorder="1"/>
    <xf numFmtId="165" fontId="0" fillId="4" borderId="25" xfId="0" applyNumberFormat="1" applyFill="1" applyBorder="1"/>
    <xf numFmtId="165" fontId="5" fillId="0" borderId="25" xfId="0" applyNumberFormat="1" applyFont="1" applyBorder="1"/>
    <xf numFmtId="165" fontId="5" fillId="4" borderId="25" xfId="0" applyNumberFormat="1" applyFont="1" applyFill="1" applyBorder="1"/>
    <xf numFmtId="165" fontId="3" fillId="0" borderId="25" xfId="0" applyNumberFormat="1" applyFont="1" applyBorder="1"/>
    <xf numFmtId="8" fontId="5" fillId="0" borderId="25" xfId="0" applyNumberFormat="1" applyFont="1" applyBorder="1"/>
    <xf numFmtId="165" fontId="5" fillId="0" borderId="38" xfId="0" applyNumberFormat="1" applyFont="1" applyBorder="1"/>
    <xf numFmtId="165" fontId="11" fillId="5" borderId="25" xfId="0" applyNumberFormat="1" applyFont="1" applyFill="1" applyBorder="1"/>
    <xf numFmtId="17" fontId="6" fillId="0" borderId="26" xfId="0" applyNumberFormat="1" applyFont="1" applyBorder="1" applyAlignment="1">
      <alignment horizontal="center" vertical="center"/>
    </xf>
    <xf numFmtId="0" fontId="16" fillId="0" borderId="0" xfId="0" applyFont="1" applyAlignment="1">
      <alignment horizontal="center"/>
    </xf>
    <xf numFmtId="165" fontId="5" fillId="5" borderId="0" xfId="0" applyNumberFormat="1" applyFont="1" applyFill="1"/>
    <xf numFmtId="165" fontId="0" fillId="4" borderId="0" xfId="0" applyNumberFormat="1" applyFill="1"/>
    <xf numFmtId="165" fontId="5" fillId="4" borderId="0" xfId="0" applyNumberFormat="1" applyFont="1" applyFill="1"/>
    <xf numFmtId="0" fontId="3" fillId="4" borderId="0" xfId="0" applyFont="1" applyFill="1"/>
    <xf numFmtId="164" fontId="0" fillId="0" borderId="32" xfId="0" applyNumberFormat="1" applyBorder="1"/>
    <xf numFmtId="164" fontId="0" fillId="5" borderId="32" xfId="0" applyNumberFormat="1" applyFill="1" applyBorder="1"/>
    <xf numFmtId="165" fontId="7" fillId="6" borderId="37" xfId="0" applyNumberFormat="1" applyFont="1" applyFill="1" applyBorder="1"/>
    <xf numFmtId="165" fontId="7" fillId="0" borderId="37" xfId="0" applyNumberFormat="1" applyFont="1" applyBorder="1"/>
    <xf numFmtId="165" fontId="7" fillId="7" borderId="37" xfId="0" applyNumberFormat="1" applyFont="1" applyFill="1" applyBorder="1"/>
    <xf numFmtId="0" fontId="3" fillId="5" borderId="37" xfId="0" applyFont="1" applyFill="1" applyBorder="1"/>
    <xf numFmtId="164" fontId="0" fillId="5" borderId="0" xfId="0" applyNumberFormat="1" applyFill="1"/>
    <xf numFmtId="0" fontId="16" fillId="0" borderId="0" xfId="0" applyFont="1" applyAlignment="1">
      <alignment horizontal="center" vertical="center"/>
    </xf>
    <xf numFmtId="0" fontId="16" fillId="0" borderId="32" xfId="0" applyFont="1" applyBorder="1" applyAlignment="1">
      <alignment horizontal="center" vertical="center"/>
    </xf>
    <xf numFmtId="165" fontId="6" fillId="0" borderId="39" xfId="0" applyNumberFormat="1" applyFont="1" applyBorder="1"/>
    <xf numFmtId="165" fontId="6" fillId="0" borderId="29" xfId="0" applyNumberFormat="1" applyFont="1" applyBorder="1"/>
    <xf numFmtId="165" fontId="6" fillId="0" borderId="40" xfId="0" applyNumberFormat="1" applyFont="1" applyBorder="1"/>
    <xf numFmtId="165" fontId="0" fillId="0" borderId="33" xfId="0" applyNumberFormat="1" applyBorder="1"/>
    <xf numFmtId="8" fontId="5" fillId="0" borderId="33" xfId="0" applyNumberFormat="1" applyFont="1" applyBorder="1"/>
    <xf numFmtId="0" fontId="0" fillId="0" borderId="37" xfId="0" applyBorder="1"/>
    <xf numFmtId="0" fontId="2" fillId="3" borderId="32" xfId="1" applyFill="1" applyBorder="1"/>
    <xf numFmtId="165" fontId="6" fillId="0" borderId="41" xfId="0" applyNumberFormat="1" applyFont="1" applyBorder="1"/>
    <xf numFmtId="0" fontId="16" fillId="0" borderId="37" xfId="0" applyFont="1" applyBorder="1" applyAlignment="1">
      <alignment horizontal="center"/>
    </xf>
    <xf numFmtId="165" fontId="6" fillId="0" borderId="42" xfId="0" applyNumberFormat="1" applyFont="1" applyBorder="1"/>
    <xf numFmtId="0" fontId="16" fillId="0" borderId="37" xfId="0" applyFont="1" applyBorder="1" applyAlignment="1">
      <alignment horizontal="center" vertical="center"/>
    </xf>
    <xf numFmtId="165" fontId="7" fillId="0" borderId="33" xfId="0" applyNumberFormat="1" applyFont="1" applyBorder="1"/>
    <xf numFmtId="44" fontId="0" fillId="0" borderId="0" xfId="2" applyFont="1"/>
    <xf numFmtId="44" fontId="0" fillId="0" borderId="0" xfId="0" applyNumberFormat="1"/>
    <xf numFmtId="165" fontId="7" fillId="4" borderId="0" xfId="0" applyNumberFormat="1" applyFont="1" applyFill="1"/>
    <xf numFmtId="165" fontId="7" fillId="6" borderId="0" xfId="0" applyNumberFormat="1" applyFont="1" applyFill="1"/>
    <xf numFmtId="17" fontId="6" fillId="0" borderId="43" xfId="0" applyNumberFormat="1" applyFont="1" applyBorder="1" applyAlignment="1">
      <alignment horizontal="center" vertical="center"/>
    </xf>
    <xf numFmtId="0" fontId="0" fillId="0" borderId="44" xfId="0" applyBorder="1"/>
    <xf numFmtId="165" fontId="5" fillId="5" borderId="44" xfId="0" applyNumberFormat="1" applyFont="1" applyFill="1" applyBorder="1"/>
    <xf numFmtId="165" fontId="7" fillId="4" borderId="44" xfId="0" applyNumberFormat="1" applyFont="1" applyFill="1" applyBorder="1"/>
    <xf numFmtId="165" fontId="7" fillId="0" borderId="44" xfId="0" applyNumberFormat="1" applyFont="1" applyBorder="1"/>
    <xf numFmtId="165" fontId="5" fillId="4" borderId="44" xfId="0" applyNumberFormat="1" applyFont="1" applyFill="1" applyBorder="1"/>
    <xf numFmtId="44" fontId="0" fillId="0" borderId="44" xfId="2" applyFont="1" applyBorder="1"/>
    <xf numFmtId="0" fontId="3" fillId="4" borderId="44" xfId="0" applyFont="1" applyFill="1" applyBorder="1"/>
    <xf numFmtId="165" fontId="5" fillId="0" borderId="45" xfId="0" applyNumberFormat="1" applyFont="1" applyBorder="1"/>
    <xf numFmtId="165" fontId="5" fillId="0" borderId="44" xfId="0" applyNumberFormat="1" applyFont="1" applyBorder="1"/>
    <xf numFmtId="165" fontId="6" fillId="0" borderId="46" xfId="0" applyNumberFormat="1" applyFont="1" applyBorder="1"/>
    <xf numFmtId="165" fontId="0" fillId="4" borderId="44" xfId="0" applyNumberFormat="1" applyFill="1" applyBorder="1"/>
    <xf numFmtId="165" fontId="7" fillId="7" borderId="0" xfId="0" applyNumberFormat="1" applyFont="1" applyFill="1"/>
    <xf numFmtId="0" fontId="3" fillId="5" borderId="0" xfId="0" applyFont="1" applyFill="1"/>
    <xf numFmtId="165" fontId="7" fillId="6" borderId="44" xfId="0" applyNumberFormat="1" applyFont="1" applyFill="1" applyBorder="1"/>
    <xf numFmtId="165" fontId="7" fillId="7" borderId="44" xfId="0" applyNumberFormat="1" applyFont="1" applyFill="1" applyBorder="1"/>
    <xf numFmtId="0" fontId="3" fillId="5" borderId="44" xfId="0" applyFont="1" applyFill="1" applyBorder="1"/>
    <xf numFmtId="0" fontId="3" fillId="0" borderId="44" xfId="0" applyFont="1" applyBorder="1"/>
    <xf numFmtId="17" fontId="6" fillId="0" borderId="47" xfId="0" applyNumberFormat="1" applyFont="1" applyBorder="1" applyAlignment="1">
      <alignment horizontal="center" vertical="center"/>
    </xf>
    <xf numFmtId="0" fontId="0" fillId="0" borderId="48" xfId="0" applyBorder="1"/>
    <xf numFmtId="165" fontId="7" fillId="6" borderId="48" xfId="0" applyNumberFormat="1" applyFont="1" applyFill="1" applyBorder="1"/>
    <xf numFmtId="165" fontId="7" fillId="0" borderId="48" xfId="0" applyNumberFormat="1" applyFont="1" applyBorder="1"/>
    <xf numFmtId="165" fontId="7" fillId="7" borderId="48" xfId="0" applyNumberFormat="1" applyFont="1" applyFill="1" applyBorder="1"/>
    <xf numFmtId="0" fontId="3" fillId="5" borderId="48" xfId="0" applyFont="1" applyFill="1" applyBorder="1"/>
    <xf numFmtId="0" fontId="3" fillId="0" borderId="48" xfId="0" applyFont="1" applyBorder="1"/>
    <xf numFmtId="44" fontId="0" fillId="0" borderId="48" xfId="2" applyFont="1" applyBorder="1"/>
    <xf numFmtId="165" fontId="5" fillId="0" borderId="49" xfId="0" applyNumberFormat="1" applyFont="1" applyBorder="1"/>
    <xf numFmtId="165" fontId="5" fillId="0" borderId="48" xfId="0" applyNumberFormat="1" applyFont="1" applyBorder="1"/>
    <xf numFmtId="165" fontId="6" fillId="0" borderId="50" xfId="0" applyNumberFormat="1" applyFont="1" applyBorder="1"/>
    <xf numFmtId="0" fontId="6" fillId="0" borderId="43" xfId="0" applyFont="1" applyBorder="1" applyAlignment="1">
      <alignment horizontal="center" vertical="center"/>
    </xf>
    <xf numFmtId="0" fontId="16" fillId="0" borderId="44" xfId="0" applyFont="1" applyBorder="1" applyAlignment="1">
      <alignment horizontal="center" vertical="center"/>
    </xf>
    <xf numFmtId="164" fontId="0" fillId="0" borderId="44" xfId="0" applyNumberFormat="1" applyBorder="1"/>
    <xf numFmtId="164" fontId="0" fillId="5" borderId="44" xfId="0" applyNumberFormat="1" applyFill="1" applyBorder="1"/>
    <xf numFmtId="8" fontId="5" fillId="0" borderId="44" xfId="0" applyNumberFormat="1" applyFont="1" applyBorder="1"/>
    <xf numFmtId="165" fontId="20" fillId="0" borderId="44" xfId="0" applyNumberFormat="1" applyFont="1" applyBorder="1"/>
    <xf numFmtId="165" fontId="20" fillId="0" borderId="25" xfId="0" applyNumberFormat="1" applyFont="1" applyBorder="1"/>
    <xf numFmtId="165" fontId="0" fillId="0" borderId="19" xfId="0" applyNumberFormat="1" applyBorder="1"/>
    <xf numFmtId="165" fontId="1" fillId="0" borderId="51" xfId="0" applyNumberFormat="1" applyFont="1" applyBorder="1"/>
    <xf numFmtId="9" fontId="4" fillId="0" borderId="52" xfId="0" applyNumberFormat="1" applyFont="1" applyBorder="1"/>
    <xf numFmtId="165" fontId="7" fillId="6" borderId="53" xfId="0" applyNumberFormat="1" applyFont="1" applyFill="1" applyBorder="1"/>
    <xf numFmtId="165" fontId="7" fillId="0" borderId="53" xfId="0" applyNumberFormat="1" applyFont="1" applyBorder="1"/>
    <xf numFmtId="165" fontId="7" fillId="7" borderId="53" xfId="0" applyNumberFormat="1" applyFont="1" applyFill="1" applyBorder="1"/>
    <xf numFmtId="0" fontId="3" fillId="5" borderId="53" xfId="0" applyFont="1" applyFill="1" applyBorder="1"/>
    <xf numFmtId="0" fontId="3" fillId="0" borderId="53" xfId="0" applyFont="1" applyBorder="1"/>
    <xf numFmtId="44" fontId="0" fillId="0" borderId="53" xfId="2" applyFont="1" applyBorder="1"/>
    <xf numFmtId="44" fontId="0" fillId="0" borderId="0" xfId="2" applyFont="1" applyBorder="1"/>
    <xf numFmtId="0" fontId="6" fillId="0" borderId="0" xfId="0" applyFont="1"/>
    <xf numFmtId="0" fontId="5" fillId="5" borderId="0" xfId="0" applyFont="1" applyFill="1"/>
    <xf numFmtId="0" fontId="17" fillId="0" borderId="0" xfId="0" applyFont="1" applyAlignment="1">
      <alignment horizontal="center" vertical="center" wrapText="1"/>
    </xf>
    <xf numFmtId="0" fontId="6" fillId="0" borderId="0" xfId="0" applyFont="1"/>
    <xf numFmtId="0" fontId="6" fillId="0" borderId="26" xfId="0" applyFont="1" applyBorder="1"/>
    <xf numFmtId="0" fontId="0" fillId="0" borderId="27" xfId="0" applyBorder="1" applyAlignment="1">
      <alignment horizontal="left" vertical="center" wrapText="1"/>
    </xf>
    <xf numFmtId="0" fontId="0" fillId="0" borderId="1" xfId="0"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xdr:row>
      <xdr:rowOff>0</xdr:rowOff>
    </xdr:from>
    <xdr:to>
      <xdr:col>7</xdr:col>
      <xdr:colOff>418667</xdr:colOff>
      <xdr:row>19</xdr:row>
      <xdr:rowOff>85511</xdr:rowOff>
    </xdr:to>
    <xdr:pic>
      <xdr:nvPicPr>
        <xdr:cNvPr id="2" name="Picture 1">
          <a:extLst>
            <a:ext uri="{FF2B5EF4-FFF2-40B4-BE49-F238E27FC236}">
              <a16:creationId xmlns:a16="http://schemas.microsoft.com/office/drawing/2014/main" id="{01BD4963-2BA0-CE87-472A-DF3A3D4725C9}"/>
            </a:ext>
          </a:extLst>
        </xdr:cNvPr>
        <xdr:cNvPicPr>
          <a:picLocks noChangeAspect="1"/>
        </xdr:cNvPicPr>
      </xdr:nvPicPr>
      <xdr:blipFill>
        <a:blip xmlns:r="http://schemas.openxmlformats.org/officeDocument/2006/relationships" r:embed="rId1"/>
        <a:stretch>
          <a:fillRect/>
        </a:stretch>
      </xdr:blipFill>
      <xdr:spPr>
        <a:xfrm>
          <a:off x="1219200" y="1809750"/>
          <a:ext cx="3466667" cy="17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552450</xdr:colOff>
      <xdr:row>83</xdr:row>
      <xdr:rowOff>76200</xdr:rowOff>
    </xdr:from>
    <xdr:to>
      <xdr:col>4</xdr:col>
      <xdr:colOff>1011555</xdr:colOff>
      <xdr:row>96</xdr:row>
      <xdr:rowOff>135255</xdr:rowOff>
    </xdr:to>
    <xdr:pic>
      <xdr:nvPicPr>
        <xdr:cNvPr id="2" name="Picture 1">
          <a:extLst>
            <a:ext uri="{FF2B5EF4-FFF2-40B4-BE49-F238E27FC236}">
              <a16:creationId xmlns:a16="http://schemas.microsoft.com/office/drawing/2014/main" id="{2B80516F-0BDB-46D0-AFF9-92930B657D50}"/>
            </a:ext>
          </a:extLst>
        </xdr:cNvPr>
        <xdr:cNvPicPr>
          <a:picLocks noChangeAspect="1"/>
        </xdr:cNvPicPr>
      </xdr:nvPicPr>
      <xdr:blipFill>
        <a:blip xmlns:r="http://schemas.openxmlformats.org/officeDocument/2006/relationships" r:embed="rId1"/>
        <a:stretch>
          <a:fillRect/>
        </a:stretch>
      </xdr:blipFill>
      <xdr:spPr>
        <a:xfrm>
          <a:off x="552450" y="15887700"/>
          <a:ext cx="8239125" cy="25431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chargehub.com/en/full-details-page.html?locId=70371" TargetMode="External"/><Relationship Id="rId18" Type="http://schemas.openxmlformats.org/officeDocument/2006/relationships/hyperlink" Target="https://www.plugshare.com/location/226923" TargetMode="External"/><Relationship Id="rId26"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3" Type="http://schemas.openxmlformats.org/officeDocument/2006/relationships/hyperlink" Target="https://chargehub.com/en/full-details-page.html?locId=123793" TargetMode="External"/><Relationship Id="rId21" Type="http://schemas.openxmlformats.org/officeDocument/2006/relationships/hyperlink" Target="https://chargehub.com/en/full-details-page.html?locId=97181" TargetMode="External"/><Relationship Id="rId34" Type="http://schemas.openxmlformats.org/officeDocument/2006/relationships/hyperlink" Target="https://www.tesla.com/findus?v=2&amp;bounds=39.98220352026187%2C-85.65983383203125%2C39.586461448284965%2C-86.70902816796875&amp;zoom=11&amp;filters=store%2Cservice%2Csupercharger%2Cdestination%20charger%2Cbodyshop%2Cparty%2Cself%20serve%20demo%20drive%2Cnacs%2Cdelivery%20centers&amp;location=27279" TargetMode="External"/><Relationship Id="rId7" Type="http://schemas.openxmlformats.org/officeDocument/2006/relationships/hyperlink" Target="https://chargehub.com/en/full-details-page.html?locId=50771" TargetMode="External"/><Relationship Id="rId12" Type="http://schemas.openxmlformats.org/officeDocument/2006/relationships/hyperlink" Target="https://chargehub.com/en/full-details-page.html?locId=144854" TargetMode="External"/><Relationship Id="rId17" Type="http://schemas.openxmlformats.org/officeDocument/2006/relationships/hyperlink" Target="https://www.plugshare.com/location/62527" TargetMode="External"/><Relationship Id="rId25" Type="http://schemas.openxmlformats.org/officeDocument/2006/relationships/hyperlink" Target="https://www.plugshare.com/location/507335" TargetMode="External"/><Relationship Id="rId33" Type="http://schemas.openxmlformats.org/officeDocument/2006/relationships/hyperlink" Target="https://www.tesla.com/findus?v=2&amp;bounds=39.899557274262754%2C-86.00834641601561%2C39.70173245272285%2C-86.53294358398436&amp;zoom=12&amp;filters=store%2Cservice%2Csupercharger%2Cdestination%20charger%2Cbodyshop%2Cparty%2Cself%20serve%20demo%20drive%2Cnacs%2Cdelivery%20centers&amp;location=SpeedwayINsupercharger" TargetMode="External"/><Relationship Id="rId2" Type="http://schemas.openxmlformats.org/officeDocument/2006/relationships/hyperlink" Target="https://chargehub.com/en/full-details-page.html?locId=144981" TargetMode="External"/><Relationship Id="rId16" Type="http://schemas.openxmlformats.org/officeDocument/2006/relationships/hyperlink" Target="https://driver.chargepoint.com/stations/747311" TargetMode="External"/><Relationship Id="rId20" Type="http://schemas.openxmlformats.org/officeDocument/2006/relationships/hyperlink" Target="https://chargehub.com/en/full-details-page.html?locId=40583" TargetMode="External"/><Relationship Id="rId29" Type="http://schemas.openxmlformats.org/officeDocument/2006/relationships/hyperlink" Target="https://www.plugshare.com/location/420063" TargetMode="External"/><Relationship Id="rId1" Type="http://schemas.openxmlformats.org/officeDocument/2006/relationships/hyperlink" Target="https://chargehub.com/en/full-details-page.html?locId=129357" TargetMode="External"/><Relationship Id="rId6" Type="http://schemas.openxmlformats.org/officeDocument/2006/relationships/hyperlink" Target="https://chargehub.com/en/full-details-page.html?locId=146625" TargetMode="External"/><Relationship Id="rId11" Type="http://schemas.openxmlformats.org/officeDocument/2006/relationships/hyperlink" Target="https://chargehub.com/en/full-details-page.html?locId=114230" TargetMode="External"/><Relationship Id="rId24" Type="http://schemas.openxmlformats.org/officeDocument/2006/relationships/hyperlink" Target="https://www.plugshare.com/location/431902" TargetMode="External"/><Relationship Id="rId32" Type="http://schemas.openxmlformats.org/officeDocument/2006/relationships/hyperlink" Target="https://www.plugshare.com/location/62527" TargetMode="External"/><Relationship Id="rId5" Type="http://schemas.openxmlformats.org/officeDocument/2006/relationships/hyperlink" Target="https://chargehub.com/en/full-details-page.html?locId=129670" TargetMode="External"/><Relationship Id="rId15" Type="http://schemas.openxmlformats.org/officeDocument/2006/relationships/hyperlink" Target="https://www.plugshare.com/location/326665" TargetMode="External"/><Relationship Id="rId23" Type="http://schemas.openxmlformats.org/officeDocument/2006/relationships/hyperlink" Target="https://www.plugshare.com/location/272750" TargetMode="External"/><Relationship Id="rId28" Type="http://schemas.openxmlformats.org/officeDocument/2006/relationships/hyperlink" Target="https://www.plugshare.com/location/158717" TargetMode="External"/><Relationship Id="rId10" Type="http://schemas.openxmlformats.org/officeDocument/2006/relationships/hyperlink" Target="https://chargehub.com/en/full-details-page.html?locId=144856" TargetMode="External"/><Relationship Id="rId19" Type="http://schemas.openxmlformats.org/officeDocument/2006/relationships/hyperlink" Target="https://www.plugshare.com/location/213941" TargetMode="External"/><Relationship Id="rId31" Type="http://schemas.openxmlformats.org/officeDocument/2006/relationships/hyperlink" Target="https://www.plugshare.com/location/425426" TargetMode="External"/><Relationship Id="rId4" Type="http://schemas.openxmlformats.org/officeDocument/2006/relationships/hyperlink" Target="https://chargehub.com/en/full-details-page.html?locId=136742" TargetMode="External"/><Relationship Id="rId9" Type="http://schemas.openxmlformats.org/officeDocument/2006/relationships/hyperlink" Target="https://chargehub.com/en/full-details-page.html?locId=102106" TargetMode="External"/><Relationship Id="rId14" Type="http://schemas.openxmlformats.org/officeDocument/2006/relationships/hyperlink" Target="https://chargehub.com/en/full-details-page.html?locId=68215" TargetMode="External"/><Relationship Id="rId22" Type="http://schemas.openxmlformats.org/officeDocument/2006/relationships/hyperlink" Target="https://chargehub.com/en/full-details-page.html?locId=67959" TargetMode="External"/><Relationship Id="rId27" Type="http://schemas.openxmlformats.org/officeDocument/2006/relationships/hyperlink" Target="https://www.plugshare.com/location/62528" TargetMode="External"/><Relationship Id="rId30" Type="http://schemas.openxmlformats.org/officeDocument/2006/relationships/hyperlink" Target="https://www.plugshare.com/location/169562" TargetMode="External"/><Relationship Id="rId35" Type="http://schemas.openxmlformats.org/officeDocument/2006/relationships/printerSettings" Target="../printerSettings/printerSettings3.bin"/><Relationship Id="rId8" Type="http://schemas.openxmlformats.org/officeDocument/2006/relationships/hyperlink" Target="https://chargehub.com/en/full-details-page.html?locId=98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8D853-1C8D-4F1E-BBC2-AE4FCBA83BF8}">
  <dimension ref="B6:B8"/>
  <sheetViews>
    <sheetView tabSelected="1" workbookViewId="0">
      <selection activeCell="D26" sqref="D26"/>
    </sheetView>
  </sheetViews>
  <sheetFormatPr defaultRowHeight="14.5" x14ac:dyDescent="0.35"/>
  <sheetData>
    <row r="6" spans="2:2" x14ac:dyDescent="0.35">
      <c r="B6" t="s">
        <v>0</v>
      </c>
    </row>
    <row r="7" spans="2:2" x14ac:dyDescent="0.35">
      <c r="B7" t="s">
        <v>1</v>
      </c>
    </row>
    <row r="8" spans="2:2" x14ac:dyDescent="0.35">
      <c r="B8" t="s">
        <v>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BE8F-EF85-4532-A415-0B30E8BE3C4A}">
  <dimension ref="B1:AC23"/>
  <sheetViews>
    <sheetView showGridLines="0" view="pageBreakPreview" zoomScale="60" zoomScaleNormal="100" workbookViewId="0">
      <selection activeCell="T11" sqref="T11"/>
    </sheetView>
  </sheetViews>
  <sheetFormatPr defaultRowHeight="14.5" x14ac:dyDescent="0.35"/>
  <sheetData>
    <row r="1" spans="2:21" x14ac:dyDescent="0.35">
      <c r="B1" s="3" t="s">
        <v>3</v>
      </c>
    </row>
    <row r="2" spans="2:21" s="4" customFormat="1" x14ac:dyDescent="0.35">
      <c r="B2" s="20"/>
      <c r="C2" s="33">
        <v>45292</v>
      </c>
      <c r="D2" s="33">
        <v>45323</v>
      </c>
      <c r="E2" s="34">
        <v>45352</v>
      </c>
      <c r="F2" s="35" t="s">
        <v>4</v>
      </c>
      <c r="G2" s="36">
        <v>45383</v>
      </c>
      <c r="H2" s="33">
        <v>45413</v>
      </c>
      <c r="I2" s="34">
        <v>45444</v>
      </c>
      <c r="J2" s="35" t="s">
        <v>5</v>
      </c>
      <c r="K2" s="36">
        <v>45474</v>
      </c>
      <c r="L2" s="33">
        <v>45505</v>
      </c>
      <c r="M2" s="34">
        <v>45536</v>
      </c>
      <c r="N2" s="35" t="s">
        <v>6</v>
      </c>
      <c r="O2" s="36">
        <v>45566</v>
      </c>
      <c r="P2" s="33">
        <v>45597</v>
      </c>
      <c r="Q2" s="34">
        <v>45627</v>
      </c>
      <c r="R2" s="37" t="s">
        <v>7</v>
      </c>
      <c r="T2" s="3" t="s">
        <v>8</v>
      </c>
    </row>
    <row r="3" spans="2:21" x14ac:dyDescent="0.35">
      <c r="B3" s="31" t="s">
        <v>9</v>
      </c>
      <c r="C3" s="22">
        <f>'Rate Comparisons - Summary - V1'!E55</f>
        <v>0.36165999999999998</v>
      </c>
      <c r="D3" s="22">
        <f>'Rate Comparisons - Summary - V1'!G55</f>
        <v>0.36165999999999998</v>
      </c>
      <c r="E3" s="22">
        <f>'Rate Comparisons - Summary - V1'!I55</f>
        <v>0.58154927999999995</v>
      </c>
      <c r="F3" s="23">
        <f>AVERAGE(C3:E3)</f>
        <v>0.43495642666666662</v>
      </c>
      <c r="G3" s="22">
        <f>'Rate Comparisons - Summary - V1'!J55</f>
        <v>0.5858892</v>
      </c>
      <c r="H3" s="22">
        <f>'Rate Comparisons - Summary - V1'!K55</f>
        <v>0.59131410000000006</v>
      </c>
      <c r="I3" s="22">
        <f>'Rate Comparisons - Summary - V1'!L55</f>
        <v>0.60758880000000004</v>
      </c>
      <c r="J3" s="23">
        <f>AVERAGE(G3:I3)</f>
        <v>0.59493070000000003</v>
      </c>
      <c r="K3" s="24"/>
      <c r="L3" s="25"/>
      <c r="M3" s="26"/>
      <c r="N3" s="19"/>
      <c r="O3" s="24"/>
      <c r="P3" s="25"/>
      <c r="Q3" s="26"/>
      <c r="R3" s="19"/>
      <c r="T3" t="s">
        <v>10</v>
      </c>
    </row>
    <row r="4" spans="2:21" x14ac:dyDescent="0.35">
      <c r="B4" s="14" t="s">
        <v>11</v>
      </c>
      <c r="C4" s="27">
        <v>0.35699999999999998</v>
      </c>
      <c r="D4" s="7">
        <v>0.35699999999999998</v>
      </c>
      <c r="E4" s="9">
        <v>0.35699999999999998</v>
      </c>
      <c r="F4" s="8">
        <f>AVERAGE(C4:E4)</f>
        <v>0.35699999999999998</v>
      </c>
      <c r="G4" s="8">
        <f t="shared" ref="G4:J4" si="0">AVERAGE(D4:F4)</f>
        <v>0.35699999999999998</v>
      </c>
      <c r="H4" s="8">
        <f t="shared" si="0"/>
        <v>0.35699999999999998</v>
      </c>
      <c r="I4" s="8">
        <f t="shared" si="0"/>
        <v>0.35699999999999998</v>
      </c>
      <c r="J4" s="8">
        <f t="shared" si="0"/>
        <v>0.35699999999999998</v>
      </c>
      <c r="K4" s="10"/>
      <c r="L4" s="6"/>
      <c r="M4" s="13"/>
      <c r="N4" s="11"/>
      <c r="O4" s="10"/>
      <c r="P4" s="6"/>
      <c r="Q4" s="13"/>
      <c r="R4" s="11"/>
      <c r="T4" t="s">
        <v>12</v>
      </c>
    </row>
    <row r="5" spans="2:21" x14ac:dyDescent="0.35">
      <c r="B5" s="32" t="s">
        <v>13</v>
      </c>
      <c r="C5" s="28">
        <f>(C4-C3)/((C4+C3)/2)</f>
        <v>-1.2968580413547429E-2</v>
      </c>
      <c r="D5" s="15">
        <f t="shared" ref="D5:F5" si="1">(D4-D3)/((D4+D3)/2)</f>
        <v>-1.2968580413547429E-2</v>
      </c>
      <c r="E5" s="29">
        <f t="shared" si="1"/>
        <v>-0.4785029082330125</v>
      </c>
      <c r="F5" s="30">
        <f t="shared" si="1"/>
        <v>-0.19687049449117835</v>
      </c>
      <c r="G5" s="28">
        <f>(G4-G3)/((G4+G3)/2)</f>
        <v>-0.48550603824924504</v>
      </c>
      <c r="H5" s="15">
        <f t="shared" ref="H5:J5" si="2">(H4-H3)/((H4+H3)/2)</f>
        <v>-0.49416981145803923</v>
      </c>
      <c r="I5" s="29">
        <f t="shared" si="2"/>
        <v>-0.519576424689982</v>
      </c>
      <c r="J5" s="30">
        <f t="shared" si="2"/>
        <v>-0.49989080087447552</v>
      </c>
      <c r="K5" s="16"/>
      <c r="L5" s="17"/>
      <c r="M5" s="18"/>
      <c r="N5" s="12"/>
      <c r="O5" s="16"/>
      <c r="P5" s="17"/>
      <c r="Q5" s="18"/>
      <c r="R5" s="12"/>
    </row>
    <row r="6" spans="2:21" x14ac:dyDescent="0.35">
      <c r="B6" s="21"/>
      <c r="F6" s="38"/>
      <c r="J6" s="39"/>
      <c r="N6" s="39"/>
      <c r="R6" s="39"/>
    </row>
    <row r="7" spans="2:21" x14ac:dyDescent="0.35">
      <c r="B7" s="31" t="s">
        <v>14</v>
      </c>
      <c r="C7" s="22">
        <f>'Rate Comparisons - Summary - V1'!E33</f>
        <v>0.29504713480768885</v>
      </c>
      <c r="D7" s="22">
        <f>'Rate Comparisons - Summary - V1'!G33</f>
        <v>0.31360993072383586</v>
      </c>
      <c r="E7" s="22">
        <f>'Rate Comparisons - Summary - V1'!I33</f>
        <v>0.31530124365370027</v>
      </c>
      <c r="F7" s="23">
        <f>AVERAGE(C7:E7)</f>
        <v>0.30798610306174162</v>
      </c>
      <c r="G7" s="22">
        <f>'Rate Comparisons - Summary - V1'!J33</f>
        <v>0.31456713538498993</v>
      </c>
      <c r="H7" s="22">
        <f>'Rate Comparisons - Summary - V1'!K33</f>
        <v>0.37006632082819146</v>
      </c>
      <c r="I7" s="22">
        <f>'Rate Comparisons - Summary - V1'!L33</f>
        <v>0.3384106092417386</v>
      </c>
      <c r="J7" s="23">
        <f>AVERAGE(G7:I7)</f>
        <v>0.34101468848497335</v>
      </c>
      <c r="K7" s="24"/>
      <c r="L7" s="25"/>
      <c r="M7" s="26"/>
      <c r="N7" s="19"/>
      <c r="O7" s="24"/>
      <c r="P7" s="25"/>
      <c r="Q7" s="26"/>
      <c r="R7" s="19"/>
    </row>
    <row r="8" spans="2:21" x14ac:dyDescent="0.35">
      <c r="B8" s="14" t="s">
        <v>11</v>
      </c>
      <c r="C8" s="27">
        <v>0.35699999999999998</v>
      </c>
      <c r="D8" s="7">
        <v>0.35699999999999998</v>
      </c>
      <c r="E8" s="9">
        <v>0.35699999999999998</v>
      </c>
      <c r="F8" s="8">
        <f>AVERAGE(C8:E8)</f>
        <v>0.35699999999999998</v>
      </c>
      <c r="G8" s="8">
        <f t="shared" ref="G8" si="3">AVERAGE(D8:F8)</f>
        <v>0.35699999999999998</v>
      </c>
      <c r="H8" s="8">
        <f t="shared" ref="H8" si="4">AVERAGE(E8:G8)</f>
        <v>0.35699999999999998</v>
      </c>
      <c r="I8" s="8">
        <f t="shared" ref="I8:J8" si="5">AVERAGE(F8:H8)</f>
        <v>0.35699999999999998</v>
      </c>
      <c r="J8" s="8">
        <f t="shared" si="5"/>
        <v>0.35699999999999998</v>
      </c>
      <c r="K8" s="10"/>
      <c r="L8" s="6"/>
      <c r="M8" s="13"/>
      <c r="N8" s="11"/>
      <c r="O8" s="10"/>
      <c r="P8" s="6"/>
      <c r="Q8" s="13"/>
      <c r="R8" s="11"/>
    </row>
    <row r="9" spans="2:21" x14ac:dyDescent="0.35">
      <c r="B9" s="32" t="s">
        <v>13</v>
      </c>
      <c r="C9" s="50">
        <f>(C8-C7)/((C8+C7)/2)</f>
        <v>0.19002572631680428</v>
      </c>
      <c r="D9" s="51">
        <f t="shared" ref="D9:F9" si="6">(D8-D7)/((D8+D7)/2)</f>
        <v>0.12940479193122062</v>
      </c>
      <c r="E9" s="29">
        <f t="shared" si="6"/>
        <v>0.12404783343753141</v>
      </c>
      <c r="F9" s="30">
        <f t="shared" si="6"/>
        <v>0.14741329694737271</v>
      </c>
      <c r="G9" s="50">
        <f>(G8-G7)/((G8+G7)/2)</f>
        <v>0.12636968779207616</v>
      </c>
      <c r="H9" s="51">
        <f t="shared" ref="H9:J9" si="7">(H8-H7)/((H8+H7)/2)</f>
        <v>-3.5942583101106401E-2</v>
      </c>
      <c r="I9" s="29">
        <f t="shared" si="7"/>
        <v>5.3463063436811439E-2</v>
      </c>
      <c r="J9" s="30">
        <f t="shared" si="7"/>
        <v>4.5802221009768225E-2</v>
      </c>
      <c r="K9" s="16"/>
      <c r="L9" s="17"/>
      <c r="M9" s="18"/>
      <c r="N9" s="12"/>
      <c r="O9" s="16"/>
      <c r="P9" s="17"/>
      <c r="Q9" s="18"/>
      <c r="R9" s="12"/>
    </row>
    <row r="10" spans="2:21" x14ac:dyDescent="0.35">
      <c r="B10" s="56"/>
      <c r="C10" s="57"/>
      <c r="D10" s="57"/>
      <c r="E10" s="57"/>
      <c r="F10" s="57"/>
      <c r="G10" s="57"/>
      <c r="H10" s="57"/>
      <c r="I10" s="57"/>
      <c r="J10" s="57"/>
      <c r="K10" s="57"/>
      <c r="L10" s="57"/>
      <c r="M10" s="57"/>
      <c r="N10" s="57"/>
      <c r="O10" s="57"/>
      <c r="P10" s="57"/>
      <c r="Q10" s="57"/>
      <c r="R10" s="57"/>
      <c r="S10" s="57"/>
      <c r="T10" s="57"/>
      <c r="U10" s="52"/>
    </row>
    <row r="11" spans="2:21" x14ac:dyDescent="0.35">
      <c r="B11" s="56" t="s">
        <v>15</v>
      </c>
      <c r="C11" s="57"/>
      <c r="D11" s="57"/>
      <c r="E11" s="57"/>
      <c r="F11" s="57"/>
      <c r="G11" s="57"/>
      <c r="H11" s="57"/>
      <c r="I11" s="57"/>
      <c r="J11" s="57"/>
      <c r="K11" s="57"/>
      <c r="L11" s="57"/>
      <c r="M11" s="57"/>
      <c r="N11" s="57"/>
      <c r="O11" s="57"/>
      <c r="P11" s="57"/>
      <c r="Q11" s="57"/>
      <c r="R11" s="57"/>
      <c r="S11" s="57"/>
      <c r="T11" s="57"/>
      <c r="U11" s="52"/>
    </row>
    <row r="13" spans="2:21" x14ac:dyDescent="0.35">
      <c r="B13" t="s">
        <v>16</v>
      </c>
    </row>
    <row r="15" spans="2:21" x14ac:dyDescent="0.35">
      <c r="B15" s="3" t="s">
        <v>17</v>
      </c>
    </row>
    <row r="16" spans="2:21" x14ac:dyDescent="0.35">
      <c r="B16" s="20"/>
      <c r="C16" s="33">
        <v>45292</v>
      </c>
      <c r="D16" s="33">
        <v>45323</v>
      </c>
      <c r="E16" s="34">
        <v>45352</v>
      </c>
      <c r="F16" s="35" t="s">
        <v>4</v>
      </c>
      <c r="G16" s="36">
        <v>45383</v>
      </c>
      <c r="H16" s="33">
        <v>45413</v>
      </c>
      <c r="I16" s="34">
        <v>45444</v>
      </c>
      <c r="J16" s="35" t="s">
        <v>5</v>
      </c>
      <c r="K16" s="36">
        <v>45474</v>
      </c>
      <c r="L16" s="33">
        <v>45505</v>
      </c>
      <c r="M16" s="34">
        <v>45536</v>
      </c>
      <c r="N16" s="35" t="s">
        <v>6</v>
      </c>
      <c r="O16" s="36">
        <v>45566</v>
      </c>
      <c r="P16" s="33">
        <v>45597</v>
      </c>
      <c r="Q16" s="34">
        <v>45627</v>
      </c>
      <c r="R16" s="37" t="s">
        <v>7</v>
      </c>
    </row>
    <row r="17" spans="2:29" x14ac:dyDescent="0.35">
      <c r="B17" s="31" t="s">
        <v>9</v>
      </c>
      <c r="C17" s="22">
        <f>'Rate Comparisons - Summary - V2'!E69</f>
        <v>0.42097224</v>
      </c>
      <c r="D17" s="22">
        <f>'Rate Comparisons - Summary - V2'!F69</f>
        <v>0.42097224</v>
      </c>
      <c r="E17" s="22">
        <f>'Rate Comparisons - Summary - V2'!G69</f>
        <v>0.56780620000000004</v>
      </c>
      <c r="F17" s="23">
        <f>AVERAGE(C17:E17)</f>
        <v>0.46991689333333336</v>
      </c>
      <c r="G17" s="22">
        <f>'Rate Comparisons - Summary - V2'!H69</f>
        <v>0.58950579999999997</v>
      </c>
      <c r="H17" s="22">
        <f>'Rate Comparisons - Summary - V2'!I69</f>
        <v>0.60578050000000006</v>
      </c>
      <c r="I17" s="171">
        <f>'Rate Comparisons - Summary - V2'!J69</f>
        <v>0.57232695000000011</v>
      </c>
      <c r="J17" s="172">
        <f>AVERAGE(G17:I17)</f>
        <v>0.58920441666666667</v>
      </c>
      <c r="K17" s="24"/>
      <c r="L17" s="25"/>
      <c r="M17" s="26"/>
      <c r="N17" s="19"/>
      <c r="O17" s="24"/>
      <c r="P17" s="25"/>
      <c r="Q17" s="26"/>
      <c r="R17" s="19"/>
      <c r="T17" s="183" t="s">
        <v>18</v>
      </c>
      <c r="U17" s="183"/>
      <c r="V17" s="183"/>
      <c r="W17" s="183"/>
      <c r="X17" s="183"/>
      <c r="Y17" s="183"/>
      <c r="Z17" s="183"/>
      <c r="AA17" s="183"/>
      <c r="AB17" s="183"/>
      <c r="AC17" s="183"/>
    </row>
    <row r="18" spans="2:29" x14ac:dyDescent="0.35">
      <c r="B18" s="14" t="s">
        <v>11</v>
      </c>
      <c r="C18" s="27">
        <v>0.35699999999999998</v>
      </c>
      <c r="D18" s="7">
        <v>0.35699999999999998</v>
      </c>
      <c r="E18" s="9">
        <v>0.35699999999999998</v>
      </c>
      <c r="F18" s="8">
        <f>AVERAGE(C18:E18)</f>
        <v>0.35699999999999998</v>
      </c>
      <c r="G18" s="8">
        <f t="shared" ref="G18" si="8">AVERAGE(D18:F18)</f>
        <v>0.35699999999999998</v>
      </c>
      <c r="H18" s="8">
        <f t="shared" ref="H18" si="9">AVERAGE(E18:G18)</f>
        <v>0.35699999999999998</v>
      </c>
      <c r="I18" s="8">
        <f t="shared" ref="I18:J18" si="10">AVERAGE(F18:H18)</f>
        <v>0.35699999999999998</v>
      </c>
      <c r="J18" s="8">
        <f t="shared" si="10"/>
        <v>0.35699999999999998</v>
      </c>
      <c r="K18" s="10"/>
      <c r="L18" s="6"/>
      <c r="M18" s="13"/>
      <c r="N18" s="11"/>
      <c r="O18" s="10"/>
      <c r="P18" s="6"/>
      <c r="Q18" s="13"/>
      <c r="R18" s="11"/>
      <c r="T18" s="183"/>
      <c r="U18" s="183"/>
      <c r="V18" s="183"/>
      <c r="W18" s="183"/>
      <c r="X18" s="183"/>
      <c r="Y18" s="183"/>
      <c r="Z18" s="183"/>
      <c r="AA18" s="183"/>
      <c r="AB18" s="183"/>
      <c r="AC18" s="183"/>
    </row>
    <row r="19" spans="2:29" x14ac:dyDescent="0.35">
      <c r="B19" s="32" t="s">
        <v>13</v>
      </c>
      <c r="C19" s="28">
        <f>(C18-C17)/((C18+C17)/2)</f>
        <v>-0.1644589272234187</v>
      </c>
      <c r="D19" s="15">
        <f t="shared" ref="D19:F19" si="11">(D18-D17)/((D18+D17)/2)</f>
        <v>-0.1644589272234187</v>
      </c>
      <c r="E19" s="29">
        <f t="shared" si="11"/>
        <v>-0.45589270487157213</v>
      </c>
      <c r="F19" s="30">
        <f t="shared" si="11"/>
        <v>-0.27310336563124527</v>
      </c>
      <c r="G19" s="28">
        <f>(G18-G17)/((G18+G17)/2)</f>
        <v>-0.49129292181833434</v>
      </c>
      <c r="H19" s="15">
        <f t="shared" ref="H19:J19" si="12">(H18-H17)/((H18+H17)/2)</f>
        <v>-0.51679588442017688</v>
      </c>
      <c r="I19" s="29">
        <f t="shared" si="12"/>
        <v>-0.46340407969445008</v>
      </c>
      <c r="J19" s="173">
        <f t="shared" si="12"/>
        <v>-0.49081237114636878</v>
      </c>
      <c r="K19" s="16"/>
      <c r="L19" s="17"/>
      <c r="M19" s="18"/>
      <c r="N19" s="12"/>
      <c r="O19" s="16"/>
      <c r="P19" s="17"/>
      <c r="Q19" s="18"/>
      <c r="R19" s="12"/>
      <c r="T19" s="183"/>
      <c r="U19" s="183"/>
      <c r="V19" s="183"/>
      <c r="W19" s="183"/>
      <c r="X19" s="183"/>
      <c r="Y19" s="183"/>
      <c r="Z19" s="183"/>
      <c r="AA19" s="183"/>
      <c r="AB19" s="183"/>
      <c r="AC19" s="183"/>
    </row>
    <row r="20" spans="2:29" x14ac:dyDescent="0.35">
      <c r="B20" s="21"/>
      <c r="F20" s="38"/>
      <c r="J20" s="38"/>
      <c r="N20" s="39"/>
      <c r="R20" s="39"/>
      <c r="T20" s="183"/>
      <c r="U20" s="183"/>
      <c r="V20" s="183"/>
      <c r="W20" s="183"/>
      <c r="X20" s="183"/>
      <c r="Y20" s="183"/>
      <c r="Z20" s="183"/>
      <c r="AA20" s="183"/>
      <c r="AB20" s="183"/>
      <c r="AC20" s="183"/>
    </row>
    <row r="21" spans="2:29" x14ac:dyDescent="0.35">
      <c r="B21" s="31" t="s">
        <v>14</v>
      </c>
      <c r="C21" s="22">
        <f>'Rate Comparisons - Summary - V2'!E43</f>
        <v>0.30129092115440109</v>
      </c>
      <c r="D21" s="22">
        <f>'Rate Comparisons - Summary - V2'!F43</f>
        <v>0.31795326101430982</v>
      </c>
      <c r="E21" s="22">
        <f>'Rate Comparisons - Summary - V2'!G43</f>
        <v>0.32231645351430976</v>
      </c>
      <c r="F21" s="23">
        <f>AVERAGE(C21:E21)</f>
        <v>0.31385354522767356</v>
      </c>
      <c r="G21" s="22">
        <f>'Rate Comparisons - Summary - V2'!H43</f>
        <v>0.31320714068813121</v>
      </c>
      <c r="H21" s="22">
        <f>'Rate Comparisons - Summary - V2'!I43</f>
        <v>0.32089245959595952</v>
      </c>
      <c r="I21" s="171">
        <f>'Rate Comparisons - Summary - V2'!J43</f>
        <v>0.38116912626262617</v>
      </c>
      <c r="J21" s="172">
        <f>AVERAGE(G21:I21)</f>
        <v>0.33842290884890563</v>
      </c>
      <c r="K21" s="24"/>
      <c r="L21" s="25"/>
      <c r="M21" s="26"/>
      <c r="N21" s="19"/>
      <c r="O21" s="24"/>
      <c r="P21" s="25"/>
      <c r="Q21" s="26"/>
      <c r="R21" s="19"/>
      <c r="T21" s="183"/>
      <c r="U21" s="183"/>
      <c r="V21" s="183"/>
      <c r="W21" s="183"/>
      <c r="X21" s="183"/>
      <c r="Y21" s="183"/>
      <c r="Z21" s="183"/>
      <c r="AA21" s="183"/>
      <c r="AB21" s="183"/>
      <c r="AC21" s="183"/>
    </row>
    <row r="22" spans="2:29" x14ac:dyDescent="0.35">
      <c r="B22" s="14" t="s">
        <v>11</v>
      </c>
      <c r="C22" s="27">
        <v>0.35699999999999998</v>
      </c>
      <c r="D22" s="7">
        <v>0.35699999999999998</v>
      </c>
      <c r="E22" s="9">
        <v>0.35699999999999998</v>
      </c>
      <c r="F22" s="8">
        <f>AVERAGE(C22:E22)</f>
        <v>0.35699999999999998</v>
      </c>
      <c r="G22" s="8">
        <f t="shared" ref="G22" si="13">AVERAGE(D22:F22)</f>
        <v>0.35699999999999998</v>
      </c>
      <c r="H22" s="8">
        <f t="shared" ref="H22" si="14">AVERAGE(E22:G22)</f>
        <v>0.35699999999999998</v>
      </c>
      <c r="I22" s="8">
        <f t="shared" ref="I22:J22" si="15">AVERAGE(F22:H22)</f>
        <v>0.35699999999999998</v>
      </c>
      <c r="J22" s="8">
        <f t="shared" si="15"/>
        <v>0.35699999999999998</v>
      </c>
      <c r="K22" s="10"/>
      <c r="L22" s="6"/>
      <c r="M22" s="13"/>
      <c r="N22" s="11"/>
      <c r="O22" s="10"/>
      <c r="P22" s="6"/>
      <c r="Q22" s="13"/>
      <c r="R22" s="11"/>
      <c r="T22" s="183"/>
      <c r="U22" s="183"/>
      <c r="V22" s="183"/>
      <c r="W22" s="183"/>
      <c r="X22" s="183"/>
      <c r="Y22" s="183"/>
      <c r="Z22" s="183"/>
      <c r="AA22" s="183"/>
      <c r="AB22" s="183"/>
      <c r="AC22" s="183"/>
    </row>
    <row r="23" spans="2:29" x14ac:dyDescent="0.35">
      <c r="B23" s="32" t="s">
        <v>13</v>
      </c>
      <c r="C23" s="50">
        <f>(C22-C21)/((C22+C21)/2)</f>
        <v>0.16925367510129286</v>
      </c>
      <c r="D23" s="51">
        <f t="shared" ref="D23:F23" si="16">(D22-D21)/((D22+D21)/2)</f>
        <v>0.11570205298959901</v>
      </c>
      <c r="E23" s="29">
        <f t="shared" si="16"/>
        <v>0.10211307647933958</v>
      </c>
      <c r="F23" s="30">
        <f t="shared" si="16"/>
        <v>0.12863151750262697</v>
      </c>
      <c r="G23" s="50">
        <f>(G22-G21)/((G22+G21)/2)</f>
        <v>0.13068455005389742</v>
      </c>
      <c r="H23" s="51">
        <f t="shared" ref="H23:J23" si="17">(H22-H21)/((H22+H21)/2)</f>
        <v>0.10652881557514725</v>
      </c>
      <c r="I23" s="29">
        <f t="shared" si="17"/>
        <v>-6.5483980304067282E-2</v>
      </c>
      <c r="J23" s="173">
        <f t="shared" si="17"/>
        <v>5.3426744833137467E-2</v>
      </c>
      <c r="K23" s="16"/>
      <c r="L23" s="17"/>
      <c r="M23" s="18"/>
      <c r="N23" s="12"/>
      <c r="O23" s="16"/>
      <c r="P23" s="17"/>
      <c r="Q23" s="18"/>
      <c r="R23" s="12"/>
      <c r="T23" s="183"/>
      <c r="U23" s="183"/>
      <c r="V23" s="183"/>
      <c r="W23" s="183"/>
      <c r="X23" s="183"/>
      <c r="Y23" s="183"/>
      <c r="Z23" s="183"/>
      <c r="AA23" s="183"/>
      <c r="AB23" s="183"/>
      <c r="AC23" s="183"/>
    </row>
  </sheetData>
  <mergeCells count="1">
    <mergeCell ref="T17:AC23"/>
  </mergeCells>
  <pageMargins left="0" right="0.2" top="0.25" bottom="0" header="0.3" footer="0.3"/>
  <pageSetup scale="55" orientation="landscape" r:id="rId1"/>
  <headerFooter>
    <oddHeader>&amp;RIndianapolis Power and Light d/b/a AES Indiana
Cause No. 45843
Second Quarterly Report Work Paper 1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28F6-94A3-43D0-8A38-6623D398772D}">
  <dimension ref="A1:L59"/>
  <sheetViews>
    <sheetView view="pageBreakPreview" topLeftCell="A16" zoomScale="60" zoomScaleNormal="100" workbookViewId="0">
      <selection activeCell="I13" sqref="I13"/>
    </sheetView>
  </sheetViews>
  <sheetFormatPr defaultRowHeight="14.5" x14ac:dyDescent="0.35"/>
  <cols>
    <col min="2" max="3" width="42.81640625" customWidth="1"/>
    <col min="4" max="5" width="21.54296875" customWidth="1"/>
    <col min="6" max="6" width="21.54296875" hidden="1" customWidth="1"/>
    <col min="7" max="7" width="18.54296875" customWidth="1"/>
    <col min="8" max="8" width="18.54296875" hidden="1" customWidth="1"/>
    <col min="9" max="11" width="20.54296875" customWidth="1"/>
    <col min="12" max="12" width="16" customWidth="1"/>
  </cols>
  <sheetData>
    <row r="1" spans="2:12" x14ac:dyDescent="0.35">
      <c r="B1" s="40"/>
      <c r="C1" s="40"/>
      <c r="D1" s="40"/>
      <c r="E1" s="184"/>
      <c r="F1" s="184"/>
    </row>
    <row r="2" spans="2:12" x14ac:dyDescent="0.35">
      <c r="B2" s="184" t="s">
        <v>19</v>
      </c>
      <c r="C2" s="184"/>
      <c r="D2" s="184"/>
      <c r="E2" s="184"/>
      <c r="F2" s="184"/>
    </row>
    <row r="3" spans="2:12" x14ac:dyDescent="0.35">
      <c r="B3" s="184" t="s">
        <v>20</v>
      </c>
      <c r="C3" s="184"/>
      <c r="D3" s="184"/>
      <c r="E3" s="184"/>
      <c r="F3" s="184"/>
    </row>
    <row r="4" spans="2:12" x14ac:dyDescent="0.35">
      <c r="B4" s="181"/>
      <c r="C4" s="181"/>
      <c r="D4" s="181"/>
      <c r="E4" s="181"/>
      <c r="F4" s="181"/>
    </row>
    <row r="5" spans="2:12" s="4" customFormat="1" x14ac:dyDescent="0.35">
      <c r="B5" s="43" t="s">
        <v>21</v>
      </c>
      <c r="C5" s="43" t="s">
        <v>22</v>
      </c>
      <c r="D5" s="43" t="s">
        <v>23</v>
      </c>
      <c r="E5" s="44">
        <v>45292</v>
      </c>
      <c r="F5" s="43" t="s">
        <v>24</v>
      </c>
      <c r="G5" s="44">
        <v>45323</v>
      </c>
      <c r="H5" s="43" t="s">
        <v>24</v>
      </c>
      <c r="I5" s="44">
        <v>45352</v>
      </c>
      <c r="J5" s="44">
        <v>45383</v>
      </c>
      <c r="K5" s="44">
        <v>45413</v>
      </c>
    </row>
    <row r="6" spans="2:12" x14ac:dyDescent="0.35">
      <c r="B6" s="181"/>
      <c r="C6" s="181"/>
      <c r="D6" s="181" t="s">
        <v>25</v>
      </c>
      <c r="E6" s="181" t="s">
        <v>25</v>
      </c>
      <c r="F6" s="181" t="s">
        <v>25</v>
      </c>
      <c r="G6" s="181" t="s">
        <v>25</v>
      </c>
      <c r="H6" s="181" t="s">
        <v>25</v>
      </c>
      <c r="I6" s="181" t="s">
        <v>25</v>
      </c>
    </row>
    <row r="7" spans="2:12" x14ac:dyDescent="0.35">
      <c r="B7" s="47" t="s">
        <v>26</v>
      </c>
      <c r="C7" s="58" t="s">
        <v>27</v>
      </c>
      <c r="D7" s="42">
        <v>7.575757575757576E-2</v>
      </c>
      <c r="E7" s="42">
        <v>7.575757575757576E-2</v>
      </c>
      <c r="F7" s="42">
        <f>D7-E7</f>
        <v>0</v>
      </c>
      <c r="G7" s="42">
        <v>7.575757575757576E-2</v>
      </c>
      <c r="H7" s="5">
        <f t="shared" ref="H7:H15" si="0">G7-D7</f>
        <v>0</v>
      </c>
      <c r="I7" s="42">
        <v>7.575757575757576E-2</v>
      </c>
      <c r="J7" s="106">
        <v>7.575757575757576E-2</v>
      </c>
      <c r="K7" s="106">
        <v>7.575757575757576E-2</v>
      </c>
      <c r="L7" t="s">
        <v>28</v>
      </c>
    </row>
    <row r="8" spans="2:12" x14ac:dyDescent="0.35">
      <c r="B8" s="47" t="s">
        <v>29</v>
      </c>
      <c r="C8" s="58" t="s">
        <v>30</v>
      </c>
      <c r="D8" s="5">
        <v>1.1299999999999999</v>
      </c>
      <c r="E8" s="5">
        <v>1.1299999999999999</v>
      </c>
      <c r="F8" s="42">
        <f>D8-E8</f>
        <v>0</v>
      </c>
      <c r="G8" s="5">
        <v>1.1299999999999999</v>
      </c>
      <c r="H8" s="5">
        <f t="shared" si="0"/>
        <v>0</v>
      </c>
      <c r="I8" s="5">
        <v>1.1299999999999999</v>
      </c>
      <c r="J8" s="133">
        <v>1.1299999999999999</v>
      </c>
      <c r="K8" s="133">
        <v>1.1299999999999999</v>
      </c>
      <c r="L8" s="107">
        <v>0</v>
      </c>
    </row>
    <row r="9" spans="2:12" x14ac:dyDescent="0.35">
      <c r="B9" s="47" t="s">
        <v>31</v>
      </c>
      <c r="C9" s="58" t="s">
        <v>32</v>
      </c>
      <c r="D9" s="42">
        <v>0.2857142857142857</v>
      </c>
      <c r="E9" s="42">
        <v>0.2857142857142857</v>
      </c>
      <c r="F9" s="42">
        <f>D9-E9</f>
        <v>0</v>
      </c>
      <c r="G9" s="5">
        <v>0.36923076923076925</v>
      </c>
      <c r="H9" s="5">
        <f t="shared" si="0"/>
        <v>8.3516483516483553E-2</v>
      </c>
      <c r="I9" s="5">
        <v>0.36923076923076925</v>
      </c>
      <c r="J9" s="48">
        <f>2.4/6.5</f>
        <v>0.3692307692307692</v>
      </c>
      <c r="K9" s="48">
        <f>2.4/6.5</f>
        <v>0.3692307692307692</v>
      </c>
      <c r="L9" s="48">
        <f>2.4/6.5</f>
        <v>0.3692307692307692</v>
      </c>
    </row>
    <row r="10" spans="2:12" x14ac:dyDescent="0.35">
      <c r="B10" s="47" t="s">
        <v>33</v>
      </c>
      <c r="C10" s="58" t="s">
        <v>34</v>
      </c>
      <c r="D10" s="42">
        <v>1.21</v>
      </c>
      <c r="E10" s="42">
        <f>10/6.6+0.15</f>
        <v>1.665151515151515</v>
      </c>
      <c r="F10" s="42">
        <f>10/6.6+0.15</f>
        <v>1.665151515151515</v>
      </c>
      <c r="G10" s="42">
        <f>10/6.6+0.15</f>
        <v>1.665151515151515</v>
      </c>
      <c r="H10" s="5">
        <f t="shared" si="0"/>
        <v>0.45515151515151508</v>
      </c>
      <c r="I10" s="42">
        <f>10/6.6+0.15</f>
        <v>1.665151515151515</v>
      </c>
      <c r="J10" s="108">
        <f>10/6.6+0.15</f>
        <v>1.665151515151515</v>
      </c>
      <c r="K10" s="108">
        <f>10/6.6+0.15</f>
        <v>1.665151515151515</v>
      </c>
      <c r="L10" s="108">
        <f>10/6+0.15</f>
        <v>1.8166666666666667</v>
      </c>
    </row>
    <row r="11" spans="2:12" x14ac:dyDescent="0.35">
      <c r="B11" s="47" t="s">
        <v>35</v>
      </c>
      <c r="C11" s="58" t="s">
        <v>36</v>
      </c>
      <c r="D11" s="42">
        <v>1.54</v>
      </c>
      <c r="E11" s="42">
        <v>1.54</v>
      </c>
      <c r="F11" s="42">
        <f t="shared" ref="F11" si="1">D11-E11</f>
        <v>0</v>
      </c>
      <c r="G11" s="42">
        <v>1.54</v>
      </c>
      <c r="H11" s="5">
        <f t="shared" si="0"/>
        <v>0</v>
      </c>
      <c r="I11" s="42">
        <v>1.54</v>
      </c>
      <c r="J11" s="108">
        <v>1.54</v>
      </c>
      <c r="K11" s="108">
        <v>1.54</v>
      </c>
      <c r="L11" s="108">
        <v>1.54</v>
      </c>
    </row>
    <row r="12" spans="2:12" x14ac:dyDescent="0.35">
      <c r="B12" s="47" t="s">
        <v>37</v>
      </c>
      <c r="C12" s="58" t="s">
        <v>38</v>
      </c>
      <c r="D12" s="42">
        <v>0.36363636363636365</v>
      </c>
      <c r="E12" s="42">
        <v>0.36363636363636365</v>
      </c>
      <c r="F12" s="42">
        <f t="shared" ref="F12:F19" si="2">D12-E12</f>
        <v>0</v>
      </c>
      <c r="G12" s="5">
        <v>0.36923076923076925</v>
      </c>
      <c r="H12" s="5">
        <f t="shared" si="0"/>
        <v>5.5944055944056048E-3</v>
      </c>
      <c r="I12" s="5">
        <v>0.36923076923076925</v>
      </c>
      <c r="J12" s="48">
        <v>0.36923076923076925</v>
      </c>
      <c r="K12" s="180">
        <f>2.4/6.5</f>
        <v>0.3692307692307692</v>
      </c>
      <c r="L12" s="180">
        <f>2.4/6.5</f>
        <v>0.3692307692307692</v>
      </c>
    </row>
    <row r="13" spans="2:12" x14ac:dyDescent="0.35">
      <c r="B13" s="47" t="s">
        <v>39</v>
      </c>
      <c r="C13" s="58" t="s">
        <v>40</v>
      </c>
      <c r="D13" s="42">
        <v>0.4</v>
      </c>
      <c r="E13" s="42">
        <v>0.4</v>
      </c>
      <c r="F13" s="42">
        <f t="shared" si="2"/>
        <v>0</v>
      </c>
      <c r="G13" s="5">
        <v>0.37846153846153846</v>
      </c>
      <c r="H13" s="5">
        <f t="shared" si="0"/>
        <v>-2.1538461538461562E-2</v>
      </c>
      <c r="I13" s="5">
        <v>0.36923076923076925</v>
      </c>
      <c r="J13" s="48">
        <v>0.4</v>
      </c>
      <c r="K13" s="48">
        <v>0.4</v>
      </c>
      <c r="L13" s="48">
        <v>0.4</v>
      </c>
    </row>
    <row r="14" spans="2:12" x14ac:dyDescent="0.35">
      <c r="B14" s="47" t="s">
        <v>41</v>
      </c>
      <c r="C14" s="58" t="s">
        <v>42</v>
      </c>
      <c r="D14" s="42">
        <v>7.716049382716049E-2</v>
      </c>
      <c r="E14" s="42">
        <f>0.5/6.48</f>
        <v>7.716049382716049E-2</v>
      </c>
      <c r="F14" s="42">
        <f t="shared" si="2"/>
        <v>0</v>
      </c>
      <c r="G14" s="42">
        <f>0.5/6.48</f>
        <v>7.716049382716049E-2</v>
      </c>
      <c r="H14" s="5">
        <f t="shared" si="0"/>
        <v>0</v>
      </c>
      <c r="I14" s="42">
        <f>0.5/6.48</f>
        <v>7.716049382716049E-2</v>
      </c>
      <c r="J14" s="106">
        <f>0.5/6.48</f>
        <v>7.716049382716049E-2</v>
      </c>
      <c r="K14" s="108">
        <f>10/6.6+0.15</f>
        <v>1.665151515151515</v>
      </c>
      <c r="L14" s="108">
        <f>10/6.6+0.15</f>
        <v>1.665151515151515</v>
      </c>
    </row>
    <row r="15" spans="2:12" x14ac:dyDescent="0.35">
      <c r="B15" s="47" t="s">
        <v>43</v>
      </c>
      <c r="C15" s="58" t="s">
        <v>44</v>
      </c>
      <c r="D15" s="42">
        <v>0.1929012345679012</v>
      </c>
      <c r="E15" s="42">
        <v>0.1929012345679012</v>
      </c>
      <c r="F15" s="42">
        <f t="shared" si="2"/>
        <v>0</v>
      </c>
      <c r="G15" s="5">
        <v>0.1929012345679012</v>
      </c>
      <c r="H15" s="5">
        <f t="shared" si="0"/>
        <v>0</v>
      </c>
      <c r="I15" s="5">
        <v>0.1929012345679012</v>
      </c>
      <c r="J15" s="48">
        <f>1.25/6.5</f>
        <v>0.19230769230769232</v>
      </c>
      <c r="K15" s="48">
        <f>1.25/6.5</f>
        <v>0.19230769230769232</v>
      </c>
      <c r="L15" s="48">
        <f>1.25/6.5</f>
        <v>0.19230769230769232</v>
      </c>
    </row>
    <row r="16" spans="2:12" x14ac:dyDescent="0.35">
      <c r="B16" s="47" t="s">
        <v>45</v>
      </c>
      <c r="C16" s="59" t="s">
        <v>46</v>
      </c>
      <c r="D16" s="42">
        <v>1.5432098765432096</v>
      </c>
      <c r="E16" s="46" t="s">
        <v>47</v>
      </c>
      <c r="F16" s="42">
        <v>0</v>
      </c>
      <c r="G16" s="46" t="s">
        <v>47</v>
      </c>
      <c r="H16" s="5">
        <v>0</v>
      </c>
      <c r="I16" s="46" t="s">
        <v>47</v>
      </c>
      <c r="J16" s="109" t="s">
        <v>47</v>
      </c>
      <c r="K16" s="109" t="s">
        <v>48</v>
      </c>
      <c r="L16" s="109" t="s">
        <v>48</v>
      </c>
    </row>
    <row r="17" spans="1:12" x14ac:dyDescent="0.35">
      <c r="B17" s="47" t="s">
        <v>49</v>
      </c>
      <c r="C17" s="58" t="s">
        <v>50</v>
      </c>
      <c r="D17" s="42">
        <v>0.18181818181818182</v>
      </c>
      <c r="E17" s="42">
        <v>0.18181818181818182</v>
      </c>
      <c r="F17" s="42">
        <f t="shared" si="2"/>
        <v>0</v>
      </c>
      <c r="G17" s="5">
        <v>0.31550480769230771</v>
      </c>
      <c r="H17" s="5">
        <f>G17-D17</f>
        <v>0.13368662587412589</v>
      </c>
      <c r="I17" s="5">
        <v>0.34555288461538458</v>
      </c>
      <c r="J17" s="134">
        <v>0.34555288461538458</v>
      </c>
      <c r="K17" s="180">
        <f>((0.035*60)+0.99)/6.5</f>
        <v>0.47538461538461535</v>
      </c>
      <c r="L17" s="180">
        <f>((0.035*60)+0.99)/6.5</f>
        <v>0.47538461538461535</v>
      </c>
    </row>
    <row r="18" spans="1:12" x14ac:dyDescent="0.35">
      <c r="B18" s="47" t="s">
        <v>51</v>
      </c>
      <c r="C18" s="58" t="s">
        <v>52</v>
      </c>
      <c r="D18" s="42">
        <v>0.37037037037037035</v>
      </c>
      <c r="E18" s="42">
        <v>0.37037037037037035</v>
      </c>
      <c r="F18" s="42">
        <f t="shared" si="2"/>
        <v>0</v>
      </c>
      <c r="G18" s="5">
        <v>0.36923076923076925</v>
      </c>
      <c r="H18" s="5">
        <f>G18-D18</f>
        <v>-1.1396011396010985E-3</v>
      </c>
      <c r="I18" s="5">
        <v>0.36923076923076925</v>
      </c>
      <c r="J18" s="48">
        <v>0.36923076923076925</v>
      </c>
      <c r="K18" s="48">
        <v>0.36923076923076925</v>
      </c>
      <c r="L18" s="48">
        <v>0.36923076923076925</v>
      </c>
    </row>
    <row r="19" spans="1:12" x14ac:dyDescent="0.35">
      <c r="B19" s="47" t="s">
        <v>53</v>
      </c>
      <c r="C19" s="58" t="s">
        <v>54</v>
      </c>
      <c r="D19" s="42">
        <v>0.15432098765432098</v>
      </c>
      <c r="E19" s="42">
        <v>0.15432098765432098</v>
      </c>
      <c r="F19" s="42">
        <f t="shared" si="2"/>
        <v>0</v>
      </c>
      <c r="G19" s="5">
        <v>0.15384615384615383</v>
      </c>
      <c r="H19" s="5">
        <f>G19-D19</f>
        <v>-4.7483380816715215E-4</v>
      </c>
      <c r="I19" s="5">
        <v>0.15384615384615383</v>
      </c>
      <c r="J19" s="48">
        <v>0.15384615384615383</v>
      </c>
      <c r="K19" s="180">
        <f>1/6.6</f>
        <v>0.15151515151515152</v>
      </c>
      <c r="L19" s="180">
        <f>1/6.6</f>
        <v>0.15151515151515152</v>
      </c>
    </row>
    <row r="20" spans="1:12" x14ac:dyDescent="0.35">
      <c r="B20" s="47" t="s">
        <v>55</v>
      </c>
      <c r="C20" s="60" t="s">
        <v>56</v>
      </c>
      <c r="D20" s="45" t="s">
        <v>57</v>
      </c>
      <c r="E20" s="5">
        <v>0.36363636363636365</v>
      </c>
      <c r="F20" s="42">
        <v>0</v>
      </c>
      <c r="G20" s="5">
        <v>0.36363636363636365</v>
      </c>
      <c r="H20" s="5">
        <f>G20-E20</f>
        <v>0</v>
      </c>
      <c r="I20" s="5">
        <v>0.36363636363636365</v>
      </c>
      <c r="J20" s="48">
        <f>2.4/6.5</f>
        <v>0.3692307692307692</v>
      </c>
      <c r="K20" s="48">
        <f>2.4/6.5</f>
        <v>0.3692307692307692</v>
      </c>
      <c r="L20" s="48">
        <f>2.4/6.5</f>
        <v>0.3692307692307692</v>
      </c>
    </row>
    <row r="21" spans="1:12" x14ac:dyDescent="0.35">
      <c r="B21" s="47" t="s">
        <v>58</v>
      </c>
      <c r="C21" s="58" t="s">
        <v>59</v>
      </c>
      <c r="D21" s="45" t="s">
        <v>57</v>
      </c>
      <c r="E21" s="5">
        <v>0.24</v>
      </c>
      <c r="F21" s="42">
        <v>0</v>
      </c>
      <c r="G21" s="5">
        <v>0.24</v>
      </c>
      <c r="H21" s="5">
        <f t="shared" ref="H21:H25" si="3">G21-E21</f>
        <v>0</v>
      </c>
      <c r="I21" s="5">
        <v>0.24</v>
      </c>
      <c r="J21" s="48">
        <v>0.24</v>
      </c>
      <c r="K21" s="48">
        <v>0.24</v>
      </c>
      <c r="L21" s="48">
        <v>0.24</v>
      </c>
    </row>
    <row r="22" spans="1:12" x14ac:dyDescent="0.35">
      <c r="B22" s="47" t="s">
        <v>60</v>
      </c>
      <c r="C22" s="58" t="s">
        <v>61</v>
      </c>
      <c r="D22" s="45" t="s">
        <v>57</v>
      </c>
      <c r="E22" s="5">
        <v>0.2</v>
      </c>
      <c r="F22" s="42">
        <v>0</v>
      </c>
      <c r="G22" s="5">
        <v>0.2</v>
      </c>
      <c r="H22" s="5">
        <f t="shared" si="3"/>
        <v>0</v>
      </c>
      <c r="I22" s="5">
        <v>0.2</v>
      </c>
      <c r="J22" s="48">
        <v>0.2</v>
      </c>
      <c r="K22" s="48">
        <v>0.2</v>
      </c>
      <c r="L22" s="48">
        <v>0.2</v>
      </c>
    </row>
    <row r="23" spans="1:12" x14ac:dyDescent="0.35">
      <c r="B23" s="47" t="s">
        <v>62</v>
      </c>
      <c r="C23" s="58" t="s">
        <v>63</v>
      </c>
      <c r="D23" s="45" t="s">
        <v>57</v>
      </c>
      <c r="E23" s="5">
        <v>0.3</v>
      </c>
      <c r="F23" s="42">
        <v>0</v>
      </c>
      <c r="G23" s="5">
        <v>0.3</v>
      </c>
      <c r="H23" s="5">
        <f t="shared" si="3"/>
        <v>0</v>
      </c>
      <c r="I23" s="5">
        <v>0.3</v>
      </c>
      <c r="J23" s="48">
        <v>0.3</v>
      </c>
      <c r="K23" s="48">
        <v>0.3</v>
      </c>
      <c r="L23" s="48">
        <v>0.3</v>
      </c>
    </row>
    <row r="24" spans="1:12" x14ac:dyDescent="0.35">
      <c r="B24" s="47" t="s">
        <v>64</v>
      </c>
      <c r="C24" s="58" t="s">
        <v>65</v>
      </c>
      <c r="D24" s="45" t="s">
        <v>57</v>
      </c>
      <c r="E24" s="5">
        <v>0.2106060606060606</v>
      </c>
      <c r="F24" s="42">
        <v>0</v>
      </c>
      <c r="G24" s="5">
        <v>0.2106060606060606</v>
      </c>
      <c r="H24" s="5">
        <f t="shared" si="3"/>
        <v>0</v>
      </c>
      <c r="I24" s="5">
        <v>0.2106060606060606</v>
      </c>
      <c r="J24" s="48">
        <v>0.2106060606060606</v>
      </c>
      <c r="K24" s="48">
        <v>0.2106060606060606</v>
      </c>
      <c r="L24" s="48">
        <v>0.2106060606060606</v>
      </c>
    </row>
    <row r="25" spans="1:12" x14ac:dyDescent="0.35">
      <c r="B25" s="47" t="s">
        <v>66</v>
      </c>
      <c r="C25" s="58" t="s">
        <v>67</v>
      </c>
      <c r="D25" s="45" t="s">
        <v>57</v>
      </c>
      <c r="E25" s="5">
        <v>0.34699999999999998</v>
      </c>
      <c r="F25" s="42">
        <v>0</v>
      </c>
      <c r="G25" s="5">
        <v>0.34699999999999998</v>
      </c>
      <c r="H25" s="5">
        <f t="shared" si="3"/>
        <v>0</v>
      </c>
      <c r="I25" s="5">
        <v>0.37846153846153846</v>
      </c>
      <c r="J25" s="48">
        <v>0.32</v>
      </c>
      <c r="K25" s="48">
        <v>0.32</v>
      </c>
      <c r="L25" s="48">
        <v>0.32</v>
      </c>
    </row>
    <row r="26" spans="1:12" x14ac:dyDescent="0.35">
      <c r="D26" s="41"/>
      <c r="E26" s="41"/>
      <c r="F26" s="41"/>
      <c r="G26" s="5"/>
      <c r="H26" s="5"/>
      <c r="I26" s="5"/>
      <c r="J26" s="130"/>
      <c r="K26" s="130"/>
    </row>
    <row r="27" spans="1:12" x14ac:dyDescent="0.35">
      <c r="A27" s="55" t="s">
        <v>68</v>
      </c>
      <c r="B27" s="53" t="s">
        <v>69</v>
      </c>
      <c r="C27" s="53"/>
      <c r="D27" s="54">
        <f>AVERAGE(D7:D19)</f>
        <v>0.5788376438376438</v>
      </c>
      <c r="E27" s="54">
        <f>AVERAGE(E7:E26)</f>
        <v>0.44989296848556104</v>
      </c>
      <c r="F27" s="54">
        <f>AVERAGE(F7:F19)</f>
        <v>0.12808857808857807</v>
      </c>
      <c r="G27" s="54">
        <f>AVERAGE(G8:G25)</f>
        <v>0.4836447338518417</v>
      </c>
      <c r="H27" s="54">
        <f>AVERAGE(H9:H13,H15:H19)</f>
        <v>6.5479613365030026E-2</v>
      </c>
      <c r="I27" s="54">
        <f>AVERAGE(I8:I25)</f>
        <v>0.48671996009618573</v>
      </c>
      <c r="J27" s="54">
        <f t="shared" ref="J27:K27" si="4">AVERAGE(J8:J25)</f>
        <v>0.48538516925159092</v>
      </c>
      <c r="K27" s="54">
        <f t="shared" si="4"/>
        <v>0.5862964486493899</v>
      </c>
      <c r="L27" s="54">
        <f>AVERAGE(L8:L15,L17:L25)</f>
        <v>0.52873851638557523</v>
      </c>
    </row>
    <row r="28" spans="1:12" x14ac:dyDescent="0.35">
      <c r="A28" s="55" t="s">
        <v>70</v>
      </c>
      <c r="B28" s="40" t="s">
        <v>71</v>
      </c>
      <c r="C28" s="40"/>
      <c r="D28" s="42">
        <v>8.8999999999999996E-2</v>
      </c>
      <c r="E28" s="42">
        <v>8.8999999999999996E-2</v>
      </c>
      <c r="F28" s="42"/>
      <c r="G28" s="42">
        <v>8.8999999999999996E-2</v>
      </c>
      <c r="H28" s="42"/>
      <c r="I28" s="42">
        <v>8.8999999999999996E-2</v>
      </c>
      <c r="J28" s="42">
        <v>8.8999999999999996E-2</v>
      </c>
      <c r="K28" s="42">
        <v>8.8999999999999996E-2</v>
      </c>
      <c r="L28" s="42">
        <v>8.8999999999999996E-2</v>
      </c>
    </row>
    <row r="29" spans="1:12" x14ac:dyDescent="0.35">
      <c r="A29" s="55" t="s">
        <v>72</v>
      </c>
      <c r="B29" t="s">
        <v>73</v>
      </c>
      <c r="D29" s="42">
        <f>(D27+D28)/2</f>
        <v>0.33391882191882188</v>
      </c>
      <c r="E29" s="42">
        <f t="shared" ref="E29:I29" si="5">(E27+E28)/2</f>
        <v>0.2694464842427805</v>
      </c>
      <c r="F29" s="42">
        <f>E29-D29</f>
        <v>-6.447233767604138E-2</v>
      </c>
      <c r="G29" s="42">
        <f t="shared" si="5"/>
        <v>0.28632236692592083</v>
      </c>
      <c r="H29" s="42">
        <f>G29-D29</f>
        <v>-4.7596454992901049E-2</v>
      </c>
      <c r="I29" s="42">
        <f t="shared" si="5"/>
        <v>0.28785998004809288</v>
      </c>
      <c r="J29" s="42">
        <f t="shared" ref="J29:K29" si="6">(J27+J28)/2</f>
        <v>0.28719258462579544</v>
      </c>
      <c r="K29" s="42">
        <f t="shared" si="6"/>
        <v>0.33764822432469493</v>
      </c>
      <c r="L29" s="42">
        <f t="shared" ref="L29" si="7">(L27+L28)/2</f>
        <v>0.3088692581927876</v>
      </c>
    </row>
    <row r="30" spans="1:12" x14ac:dyDescent="0.35">
      <c r="A30" s="55" t="s">
        <v>74</v>
      </c>
      <c r="B30" t="s">
        <v>75</v>
      </c>
      <c r="D30" s="42">
        <f>D27*0.014</f>
        <v>8.1037270137270141E-3</v>
      </c>
      <c r="E30" s="42">
        <f>E27*0.014</f>
        <v>6.298501558797855E-3</v>
      </c>
      <c r="F30" s="42"/>
      <c r="G30" s="42">
        <f t="shared" ref="G30:I30" si="8">G27*0.014</f>
        <v>6.7710262739257843E-3</v>
      </c>
      <c r="H30" s="42"/>
      <c r="I30" s="42">
        <f t="shared" si="8"/>
        <v>6.8140794413466006E-3</v>
      </c>
      <c r="J30" s="42">
        <f t="shared" ref="J30:K30" si="9">J27*0.014</f>
        <v>6.7953923695222729E-3</v>
      </c>
      <c r="K30" s="42">
        <f t="shared" si="9"/>
        <v>8.2081502810914583E-3</v>
      </c>
      <c r="L30" s="42">
        <f t="shared" ref="L30" si="10">L27*0.014</f>
        <v>7.4023392293980535E-3</v>
      </c>
    </row>
    <row r="31" spans="1:12" x14ac:dyDescent="0.35">
      <c r="A31" s="55" t="s">
        <v>76</v>
      </c>
      <c r="B31" t="s">
        <v>77</v>
      </c>
      <c r="D31" s="42">
        <f>D29+D30</f>
        <v>0.34202254893254891</v>
      </c>
      <c r="E31" s="42">
        <f t="shared" ref="E31:I31" si="11">E29+E30</f>
        <v>0.27574498580157836</v>
      </c>
      <c r="F31" s="42"/>
      <c r="G31" s="42">
        <f>G29+G30</f>
        <v>0.29309339319984662</v>
      </c>
      <c r="H31" s="42"/>
      <c r="I31" s="42">
        <f t="shared" si="11"/>
        <v>0.29467405948943948</v>
      </c>
      <c r="J31" s="42">
        <f t="shared" ref="J31:K31" si="12">J29+J30</f>
        <v>0.2939879769953177</v>
      </c>
      <c r="K31" s="42">
        <f t="shared" si="12"/>
        <v>0.34585637460578639</v>
      </c>
      <c r="L31" s="42">
        <f t="shared" ref="L31" si="13">L29+L30</f>
        <v>0.31627159742218564</v>
      </c>
    </row>
    <row r="32" spans="1:12" x14ac:dyDescent="0.35">
      <c r="A32" s="55" t="s">
        <v>78</v>
      </c>
      <c r="B32" t="s">
        <v>79</v>
      </c>
      <c r="D32" s="42">
        <f>D31*0.07</f>
        <v>2.3941578425278425E-2</v>
      </c>
      <c r="E32" s="42">
        <f t="shared" ref="E32:I32" si="14">E31*0.07</f>
        <v>1.9302149006110488E-2</v>
      </c>
      <c r="F32" s="42"/>
      <c r="G32" s="42">
        <f t="shared" si="14"/>
        <v>2.0516537523989267E-2</v>
      </c>
      <c r="H32" s="42"/>
      <c r="I32" s="42">
        <f t="shared" si="14"/>
        <v>2.0627184164260765E-2</v>
      </c>
      <c r="J32" s="42">
        <f t="shared" ref="J32:K32" si="15">J31*0.07</f>
        <v>2.0579158389672243E-2</v>
      </c>
      <c r="K32" s="42">
        <f t="shared" si="15"/>
        <v>2.4209946222405049E-2</v>
      </c>
      <c r="L32" s="42">
        <f t="shared" ref="L32" si="16">L31*0.07</f>
        <v>2.2139011819552995E-2</v>
      </c>
    </row>
    <row r="33" spans="1:12" x14ac:dyDescent="0.35">
      <c r="A33" s="55" t="s">
        <v>80</v>
      </c>
      <c r="B33" t="s">
        <v>81</v>
      </c>
      <c r="D33" s="42">
        <f>SUM(D31:D32)</f>
        <v>0.36596412735782735</v>
      </c>
      <c r="E33" s="42">
        <f>SUM(E31:E32)</f>
        <v>0.29504713480768885</v>
      </c>
      <c r="F33" s="42">
        <f>E33-D33</f>
        <v>-7.0916992550138502E-2</v>
      </c>
      <c r="G33" s="42">
        <f t="shared" ref="G33:I33" si="17">SUM(G31:G32)</f>
        <v>0.31360993072383586</v>
      </c>
      <c r="H33" s="42">
        <f>G33-D33</f>
        <v>-5.235419663399149E-2</v>
      </c>
      <c r="I33" s="42">
        <f t="shared" si="17"/>
        <v>0.31530124365370027</v>
      </c>
      <c r="J33" s="42">
        <f t="shared" ref="J33:K33" si="18">SUM(J31:J32)</f>
        <v>0.31456713538498993</v>
      </c>
      <c r="K33" s="42">
        <f t="shared" si="18"/>
        <v>0.37006632082819146</v>
      </c>
      <c r="L33" s="42">
        <f t="shared" ref="L33" si="19">SUM(L31:L32)</f>
        <v>0.3384106092417386</v>
      </c>
    </row>
    <row r="34" spans="1:12" x14ac:dyDescent="0.35">
      <c r="B34" s="40"/>
      <c r="C34" s="40"/>
      <c r="D34" s="40"/>
      <c r="E34" s="40"/>
      <c r="F34" s="40"/>
    </row>
    <row r="35" spans="1:12" x14ac:dyDescent="0.35">
      <c r="B35" s="181"/>
      <c r="C35" s="181"/>
      <c r="D35" s="181"/>
      <c r="E35" s="40"/>
      <c r="F35" s="40"/>
    </row>
    <row r="36" spans="1:12" x14ac:dyDescent="0.35">
      <c r="B36" s="40"/>
      <c r="C36" s="40"/>
      <c r="D36" s="40"/>
      <c r="E36" s="40"/>
      <c r="F36" s="40"/>
    </row>
    <row r="37" spans="1:12" x14ac:dyDescent="0.35">
      <c r="B37" s="181"/>
      <c r="C37" s="181"/>
    </row>
    <row r="38" spans="1:12" x14ac:dyDescent="0.35">
      <c r="B38" s="184" t="s">
        <v>82</v>
      </c>
      <c r="C38" s="184"/>
      <c r="D38" s="184"/>
      <c r="E38" s="184"/>
      <c r="F38" s="184"/>
    </row>
    <row r="39" spans="1:12" x14ac:dyDescent="0.35">
      <c r="B39" s="184" t="s">
        <v>20</v>
      </c>
      <c r="C39" s="184"/>
      <c r="D39" s="184"/>
      <c r="E39" s="184"/>
      <c r="F39" s="184"/>
    </row>
    <row r="40" spans="1:12" x14ac:dyDescent="0.35">
      <c r="B40" s="181"/>
      <c r="C40" s="181"/>
      <c r="D40" s="181"/>
      <c r="E40" s="181"/>
      <c r="F40" s="181"/>
    </row>
    <row r="41" spans="1:12" x14ac:dyDescent="0.35">
      <c r="B41" s="43" t="s">
        <v>21</v>
      </c>
      <c r="C41" s="43" t="s">
        <v>22</v>
      </c>
      <c r="D41" s="43" t="s">
        <v>83</v>
      </c>
      <c r="E41" s="44">
        <v>45292</v>
      </c>
      <c r="F41" s="43" t="s">
        <v>24</v>
      </c>
      <c r="G41" s="44">
        <v>45323</v>
      </c>
      <c r="H41" s="43" t="s">
        <v>24</v>
      </c>
      <c r="I41" s="44">
        <v>45352</v>
      </c>
      <c r="J41" s="44">
        <v>45383</v>
      </c>
      <c r="K41" s="44">
        <v>45413</v>
      </c>
    </row>
    <row r="42" spans="1:12" x14ac:dyDescent="0.35">
      <c r="B42" s="181"/>
      <c r="C42" s="181"/>
      <c r="D42" s="181" t="s">
        <v>25</v>
      </c>
      <c r="E42" s="181" t="s">
        <v>25</v>
      </c>
      <c r="F42" s="181" t="s">
        <v>25</v>
      </c>
      <c r="G42" s="181" t="s">
        <v>25</v>
      </c>
      <c r="H42" s="181" t="s">
        <v>25</v>
      </c>
      <c r="I42" s="181" t="s">
        <v>25</v>
      </c>
    </row>
    <row r="43" spans="1:12" x14ac:dyDescent="0.35">
      <c r="B43" s="47" t="s">
        <v>49</v>
      </c>
      <c r="C43" s="58" t="s">
        <v>84</v>
      </c>
      <c r="D43" s="1">
        <v>0.36</v>
      </c>
      <c r="E43" s="1">
        <v>0.36</v>
      </c>
      <c r="F43" s="42">
        <f>D43-E43</f>
        <v>0</v>
      </c>
      <c r="G43" s="1">
        <v>0.36</v>
      </c>
      <c r="H43" s="5">
        <f t="shared" ref="H43:H48" si="20">G43-D43</f>
        <v>0</v>
      </c>
      <c r="I43" s="48">
        <v>0.52</v>
      </c>
      <c r="J43" s="134">
        <v>0.52</v>
      </c>
      <c r="K43" s="134">
        <v>0.53</v>
      </c>
      <c r="L43" s="174">
        <v>0.56000000000000005</v>
      </c>
    </row>
    <row r="44" spans="1:12" x14ac:dyDescent="0.35">
      <c r="B44" s="47" t="s">
        <v>85</v>
      </c>
      <c r="C44" s="58" t="s">
        <v>86</v>
      </c>
      <c r="D44" s="1">
        <v>0.43</v>
      </c>
      <c r="E44" s="1">
        <v>0.43</v>
      </c>
      <c r="F44" s="42">
        <f t="shared" ref="F44:F48" si="21">D44-E44</f>
        <v>0</v>
      </c>
      <c r="G44" s="1">
        <v>0.43</v>
      </c>
      <c r="H44" s="5">
        <f t="shared" si="20"/>
        <v>0</v>
      </c>
      <c r="I44" s="48">
        <v>0.56000000000000005</v>
      </c>
      <c r="J44" s="48">
        <v>0.56000000000000005</v>
      </c>
      <c r="K44" s="48">
        <v>0.56000000000000005</v>
      </c>
      <c r="L44" s="175">
        <f>0.56</f>
        <v>0.56000000000000005</v>
      </c>
    </row>
    <row r="45" spans="1:12" x14ac:dyDescent="0.35">
      <c r="B45" s="47" t="s">
        <v>87</v>
      </c>
      <c r="C45" s="58" t="s">
        <v>88</v>
      </c>
      <c r="D45" s="1">
        <v>0.43</v>
      </c>
      <c r="E45" s="1">
        <v>0.43</v>
      </c>
      <c r="F45" s="42">
        <f t="shared" si="21"/>
        <v>0</v>
      </c>
      <c r="G45" s="1">
        <v>0.43</v>
      </c>
      <c r="H45" s="5">
        <f t="shared" si="20"/>
        <v>0</v>
      </c>
      <c r="I45" s="48">
        <v>0.56000000000000005</v>
      </c>
      <c r="J45" s="147">
        <v>0.56000000000000005</v>
      </c>
      <c r="K45" s="147">
        <v>0.56000000000000005</v>
      </c>
      <c r="L45" s="176">
        <v>0.56000000000000005</v>
      </c>
    </row>
    <row r="46" spans="1:12" x14ac:dyDescent="0.35">
      <c r="B46" s="47" t="s">
        <v>89</v>
      </c>
      <c r="C46" s="58" t="s">
        <v>90</v>
      </c>
      <c r="D46" s="1">
        <v>0.36</v>
      </c>
      <c r="E46" s="1">
        <v>0.36</v>
      </c>
      <c r="F46" s="42">
        <f t="shared" si="21"/>
        <v>0</v>
      </c>
      <c r="G46" s="1">
        <v>0.36</v>
      </c>
      <c r="H46" s="5">
        <f t="shared" si="20"/>
        <v>0</v>
      </c>
      <c r="I46" s="48">
        <v>0.52</v>
      </c>
      <c r="J46" s="134">
        <v>0.52</v>
      </c>
      <c r="K46" s="134">
        <v>0.53</v>
      </c>
      <c r="L46" s="174">
        <v>0.56000000000000005</v>
      </c>
    </row>
    <row r="47" spans="1:12" x14ac:dyDescent="0.35">
      <c r="B47" s="47" t="s">
        <v>91</v>
      </c>
      <c r="C47" s="58" t="s">
        <v>92</v>
      </c>
      <c r="D47" s="1">
        <v>0.06</v>
      </c>
      <c r="E47" s="1">
        <v>0.06</v>
      </c>
      <c r="F47" s="42">
        <f t="shared" si="21"/>
        <v>0</v>
      </c>
      <c r="G47" s="1">
        <v>0.06</v>
      </c>
      <c r="H47" s="5">
        <f t="shared" si="20"/>
        <v>0</v>
      </c>
      <c r="I47" s="46" t="s">
        <v>47</v>
      </c>
      <c r="J47" s="148" t="s">
        <v>47</v>
      </c>
      <c r="K47" s="148" t="s">
        <v>47</v>
      </c>
      <c r="L47" s="177" t="s">
        <v>47</v>
      </c>
    </row>
    <row r="48" spans="1:12" x14ac:dyDescent="0.35">
      <c r="B48" s="47" t="s">
        <v>93</v>
      </c>
      <c r="C48" s="58" t="s">
        <v>94</v>
      </c>
      <c r="D48" s="1">
        <v>0.36</v>
      </c>
      <c r="E48" s="1">
        <v>0.36</v>
      </c>
      <c r="F48" s="42">
        <f t="shared" si="21"/>
        <v>0</v>
      </c>
      <c r="G48" s="1">
        <v>0.36</v>
      </c>
      <c r="H48" s="5">
        <f t="shared" si="20"/>
        <v>0</v>
      </c>
      <c r="I48" s="48">
        <v>0.52</v>
      </c>
      <c r="J48" s="46" t="s">
        <v>47</v>
      </c>
      <c r="K48" s="46" t="s">
        <v>47</v>
      </c>
      <c r="L48" s="178" t="s">
        <v>47</v>
      </c>
    </row>
    <row r="49" spans="2:12" x14ac:dyDescent="0.35">
      <c r="B49" s="49" t="s">
        <v>85</v>
      </c>
      <c r="C49" s="58" t="s">
        <v>95</v>
      </c>
      <c r="D49" s="45" t="s">
        <v>57</v>
      </c>
      <c r="E49" s="41"/>
      <c r="F49" s="41"/>
      <c r="G49" s="5"/>
      <c r="H49" s="5"/>
      <c r="I49" s="48">
        <v>0.46</v>
      </c>
      <c r="J49" s="48">
        <v>0.46</v>
      </c>
      <c r="K49">
        <v>0.53</v>
      </c>
      <c r="L49" s="179">
        <v>0.53</v>
      </c>
    </row>
    <row r="50" spans="2:12" x14ac:dyDescent="0.35">
      <c r="D50" s="41"/>
      <c r="E50" s="41"/>
      <c r="F50" s="41"/>
      <c r="G50" s="5"/>
      <c r="H50" s="5"/>
      <c r="I50" s="48"/>
    </row>
    <row r="51" spans="2:12" x14ac:dyDescent="0.35">
      <c r="B51" s="40" t="s">
        <v>69</v>
      </c>
      <c r="C51" s="40"/>
      <c r="D51" s="42">
        <f t="shared" ref="D51:I51" si="22">AVERAGE(D43:D48)</f>
        <v>0.33333333333333331</v>
      </c>
      <c r="E51" s="42">
        <f t="shared" si="22"/>
        <v>0.33333333333333331</v>
      </c>
      <c r="F51" s="42">
        <f t="shared" si="22"/>
        <v>0</v>
      </c>
      <c r="G51" s="42">
        <f t="shared" si="22"/>
        <v>0.33333333333333331</v>
      </c>
      <c r="H51" s="42">
        <f t="shared" si="22"/>
        <v>0</v>
      </c>
      <c r="I51" s="42">
        <f t="shared" si="22"/>
        <v>0.53600000000000003</v>
      </c>
      <c r="J51" s="42">
        <f t="shared" ref="J51:K51" si="23">AVERAGE(J43:J48)</f>
        <v>0.54</v>
      </c>
      <c r="K51" s="42">
        <f t="shared" si="23"/>
        <v>0.54500000000000004</v>
      </c>
      <c r="L51" s="42">
        <f t="shared" ref="L51" si="24">AVERAGE(L43:L48)</f>
        <v>0.56000000000000005</v>
      </c>
    </row>
    <row r="52" spans="2:12" x14ac:dyDescent="0.35">
      <c r="B52" t="s">
        <v>75</v>
      </c>
      <c r="D52" s="42">
        <f>D51*0.014</f>
        <v>4.6666666666666662E-3</v>
      </c>
      <c r="E52" s="42">
        <f>E51*0.014</f>
        <v>4.6666666666666662E-3</v>
      </c>
      <c r="F52" s="42"/>
      <c r="G52" s="42">
        <f t="shared" ref="G52" si="25">G51*0.014</f>
        <v>4.6666666666666662E-3</v>
      </c>
      <c r="H52" s="42"/>
      <c r="I52" s="42">
        <f t="shared" ref="I52:K52" si="26">I51*0.014</f>
        <v>7.5040000000000003E-3</v>
      </c>
      <c r="J52" s="42">
        <f t="shared" si="26"/>
        <v>7.5600000000000007E-3</v>
      </c>
      <c r="K52" s="42">
        <f t="shared" si="26"/>
        <v>7.6300000000000005E-3</v>
      </c>
      <c r="L52" s="42">
        <f t="shared" ref="L52" si="27">L51*0.014</f>
        <v>7.8400000000000015E-3</v>
      </c>
    </row>
    <row r="53" spans="2:12" x14ac:dyDescent="0.35">
      <c r="B53" t="s">
        <v>96</v>
      </c>
      <c r="D53" s="42">
        <f>D51+D52</f>
        <v>0.33799999999999997</v>
      </c>
      <c r="E53" s="42">
        <f t="shared" ref="E53" si="28">E51+E52</f>
        <v>0.33799999999999997</v>
      </c>
      <c r="F53" s="42"/>
      <c r="G53" s="42">
        <f t="shared" ref="G53" si="29">G51+G52</f>
        <v>0.33799999999999997</v>
      </c>
      <c r="H53" s="42"/>
      <c r="I53" s="42">
        <f t="shared" ref="I53:K53" si="30">I51+I52</f>
        <v>0.54350399999999999</v>
      </c>
      <c r="J53" s="42">
        <f t="shared" si="30"/>
        <v>0.54756000000000005</v>
      </c>
      <c r="K53" s="42">
        <f t="shared" si="30"/>
        <v>0.55263000000000007</v>
      </c>
      <c r="L53" s="42">
        <f t="shared" ref="L53" si="31">L51+L52</f>
        <v>0.56784000000000001</v>
      </c>
    </row>
    <row r="54" spans="2:12" x14ac:dyDescent="0.35">
      <c r="B54" t="s">
        <v>79</v>
      </c>
      <c r="D54" s="42">
        <f>D53*0.07</f>
        <v>2.366E-2</v>
      </c>
      <c r="E54" s="42">
        <f t="shared" ref="E54" si="32">E53*0.07</f>
        <v>2.366E-2</v>
      </c>
      <c r="F54" s="42"/>
      <c r="G54" s="42">
        <f t="shared" ref="G54" si="33">G53*0.07</f>
        <v>2.366E-2</v>
      </c>
      <c r="H54" s="42"/>
      <c r="I54" s="42">
        <f t="shared" ref="I54:K54" si="34">I53*0.07</f>
        <v>3.8045280000000001E-2</v>
      </c>
      <c r="J54" s="42">
        <f t="shared" si="34"/>
        <v>3.8329200000000008E-2</v>
      </c>
      <c r="K54" s="42">
        <f t="shared" si="34"/>
        <v>3.8684100000000006E-2</v>
      </c>
      <c r="L54" s="42">
        <f t="shared" ref="L54" si="35">L53*0.07</f>
        <v>3.9748800000000008E-2</v>
      </c>
    </row>
    <row r="55" spans="2:12" x14ac:dyDescent="0.35">
      <c r="B55" t="s">
        <v>97</v>
      </c>
      <c r="D55" s="42">
        <f>SUM(D53:D54)</f>
        <v>0.36165999999999998</v>
      </c>
      <c r="E55" s="42">
        <f>SUM(E53:E54)</f>
        <v>0.36165999999999998</v>
      </c>
      <c r="F55" s="42">
        <f>SUM(F53:F54)</f>
        <v>0</v>
      </c>
      <c r="G55" s="42">
        <f t="shared" ref="G55:H55" si="36">SUM(G53:G54)</f>
        <v>0.36165999999999998</v>
      </c>
      <c r="H55" s="42">
        <f t="shared" si="36"/>
        <v>0</v>
      </c>
      <c r="I55" s="42">
        <f t="shared" ref="I55:K55" si="37">SUM(I53:I54)</f>
        <v>0.58154927999999995</v>
      </c>
      <c r="J55" s="42">
        <f t="shared" si="37"/>
        <v>0.5858892</v>
      </c>
      <c r="K55" s="42">
        <f t="shared" si="37"/>
        <v>0.59131410000000006</v>
      </c>
      <c r="L55" s="42">
        <f t="shared" ref="L55" si="38">SUM(L53:L54)</f>
        <v>0.60758880000000004</v>
      </c>
    </row>
    <row r="56" spans="2:12" x14ac:dyDescent="0.35">
      <c r="B56" s="40"/>
      <c r="C56" s="40"/>
      <c r="D56" s="40"/>
      <c r="E56" s="40"/>
      <c r="F56" s="40"/>
    </row>
    <row r="59" spans="2:12" x14ac:dyDescent="0.35">
      <c r="B59" t="s">
        <v>98</v>
      </c>
    </row>
  </sheetData>
  <mergeCells count="5">
    <mergeCell ref="E1:F1"/>
    <mergeCell ref="B2:F2"/>
    <mergeCell ref="B3:F3"/>
    <mergeCell ref="B38:F38"/>
    <mergeCell ref="B39:F39"/>
  </mergeCells>
  <pageMargins left="0.7" right="0.7" top="0.75" bottom="0.75" header="0.3" footer="0.3"/>
  <pageSetup scale="52" orientation="landscape" r:id="rId1"/>
  <headerFooter>
    <oddHeader>&amp;RIndianapolis Power and Light d/b/a AES Indiana
Cause No. 45843
Second Quarterly Report Work Paper 2
Page &amp;P of &amp;N</oddHeader>
  </headerFooter>
  <rowBreaks count="1" manualBreakCount="1">
    <brk id="36" max="16383" man="1"/>
  </rowBreaks>
  <ignoredErrors>
    <ignoredError sqref="F10 H10 F14 H14 E27 H27 F29 H29 F33 H3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2BCA6-CEEC-42AC-8F36-D48AE3A178F6}">
  <dimension ref="A1:AY93"/>
  <sheetViews>
    <sheetView showGridLines="0" view="pageBreakPreview" topLeftCell="C1" zoomScale="60" zoomScaleNormal="100" workbookViewId="0">
      <selection activeCell="I89" sqref="I89"/>
    </sheetView>
  </sheetViews>
  <sheetFormatPr defaultRowHeight="14.5" x14ac:dyDescent="0.35"/>
  <cols>
    <col min="2" max="3" width="42.81640625" customWidth="1"/>
    <col min="4" max="4" width="24.1796875" customWidth="1"/>
    <col min="5" max="16" width="18.453125" customWidth="1"/>
  </cols>
  <sheetData>
    <row r="1" spans="1:49" x14ac:dyDescent="0.35">
      <c r="B1" s="66" t="s">
        <v>99</v>
      </c>
      <c r="C1" s="67"/>
      <c r="D1" s="67"/>
      <c r="E1" s="67"/>
      <c r="F1" s="67"/>
      <c r="G1" s="68"/>
    </row>
    <row r="2" spans="1:49" ht="36.75" customHeight="1" x14ac:dyDescent="0.35">
      <c r="B2" s="65">
        <v>1</v>
      </c>
      <c r="C2" s="186" t="s">
        <v>100</v>
      </c>
      <c r="D2" s="186"/>
      <c r="E2" s="186"/>
      <c r="F2" s="186"/>
      <c r="G2" s="186"/>
    </row>
    <row r="3" spans="1:49" ht="36.75" customHeight="1" x14ac:dyDescent="0.35">
      <c r="B3" s="63">
        <v>2</v>
      </c>
      <c r="C3" s="187" t="s">
        <v>101</v>
      </c>
      <c r="D3" s="187"/>
      <c r="E3" s="187"/>
      <c r="F3" s="187"/>
      <c r="G3" s="187"/>
    </row>
    <row r="4" spans="1:49" ht="36.75" customHeight="1" x14ac:dyDescent="0.35">
      <c r="B4" s="64">
        <v>3</v>
      </c>
      <c r="C4" s="187" t="s">
        <v>102</v>
      </c>
      <c r="D4" s="187"/>
      <c r="E4" s="187"/>
      <c r="F4" s="187"/>
      <c r="G4" s="187"/>
    </row>
    <row r="5" spans="1:49" ht="36.75" customHeight="1" x14ac:dyDescent="0.35">
      <c r="B5" s="61"/>
      <c r="C5" s="61"/>
      <c r="D5" s="61"/>
      <c r="E5" s="61"/>
      <c r="F5" s="61"/>
      <c r="G5" s="61"/>
    </row>
    <row r="6" spans="1:49" x14ac:dyDescent="0.35">
      <c r="A6" s="62"/>
      <c r="B6" s="185" t="s">
        <v>19</v>
      </c>
      <c r="C6" s="185"/>
      <c r="D6" s="185"/>
      <c r="E6" s="185"/>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row>
    <row r="7" spans="1:49" x14ac:dyDescent="0.35">
      <c r="B7" s="184" t="s">
        <v>20</v>
      </c>
      <c r="C7" s="184"/>
      <c r="D7" s="184"/>
      <c r="E7" s="184"/>
    </row>
    <row r="8" spans="1:49" ht="15" thickBot="1" x14ac:dyDescent="0.4">
      <c r="B8" s="181"/>
      <c r="C8" s="181"/>
      <c r="D8" s="181"/>
      <c r="E8" s="181"/>
    </row>
    <row r="9" spans="1:49" s="4" customFormat="1" x14ac:dyDescent="0.35">
      <c r="B9" s="69" t="s">
        <v>21</v>
      </c>
      <c r="C9" s="70"/>
      <c r="D9" s="94" t="s">
        <v>23</v>
      </c>
      <c r="E9" s="104">
        <v>45292</v>
      </c>
      <c r="F9" s="90">
        <v>45323</v>
      </c>
      <c r="G9" s="80">
        <v>45352</v>
      </c>
      <c r="H9" s="104">
        <v>45383</v>
      </c>
      <c r="I9" s="135">
        <v>45413</v>
      </c>
      <c r="J9" s="135">
        <v>45444</v>
      </c>
      <c r="K9" s="44">
        <v>45474</v>
      </c>
      <c r="L9" s="44">
        <v>45505</v>
      </c>
      <c r="M9" s="44">
        <v>45536</v>
      </c>
      <c r="N9" s="44">
        <v>45566</v>
      </c>
      <c r="O9" s="44">
        <v>45597</v>
      </c>
      <c r="P9" s="44">
        <v>45627</v>
      </c>
    </row>
    <row r="10" spans="1:49" x14ac:dyDescent="0.35">
      <c r="B10" s="71"/>
      <c r="C10" s="181"/>
      <c r="D10" s="95" t="s">
        <v>25</v>
      </c>
      <c r="E10" s="105" t="s">
        <v>25</v>
      </c>
      <c r="F10" s="83" t="s">
        <v>25</v>
      </c>
      <c r="G10" s="127" t="s">
        <v>25</v>
      </c>
      <c r="I10" s="136"/>
      <c r="J10" s="136"/>
    </row>
    <row r="11" spans="1:49" x14ac:dyDescent="0.35">
      <c r="B11" s="125" t="s">
        <v>26</v>
      </c>
      <c r="C11" s="58" t="s">
        <v>27</v>
      </c>
      <c r="D11" s="96">
        <v>7.575757575757576E-2</v>
      </c>
      <c r="E11" s="106">
        <v>7.575757575757576E-2</v>
      </c>
      <c r="F11" s="84">
        <v>7.575757575757576E-2</v>
      </c>
      <c r="G11" s="75">
        <v>7.575757575757576E-2</v>
      </c>
      <c r="H11" s="106">
        <v>7.575757575757576E-2</v>
      </c>
      <c r="I11" s="137">
        <v>7.575757575757576E-2</v>
      </c>
      <c r="J11" s="136" t="s">
        <v>28</v>
      </c>
    </row>
    <row r="12" spans="1:49" x14ac:dyDescent="0.35">
      <c r="B12" s="125" t="s">
        <v>29</v>
      </c>
      <c r="C12" s="58" t="s">
        <v>30</v>
      </c>
      <c r="D12" s="97">
        <v>1.1299999999999999</v>
      </c>
      <c r="E12" s="107">
        <v>1.1299999999999999</v>
      </c>
      <c r="F12" s="85">
        <v>1.1299999999999999</v>
      </c>
      <c r="G12" s="76">
        <v>1.1299999999999999</v>
      </c>
      <c r="H12" s="133">
        <v>1.1299999999999999</v>
      </c>
      <c r="I12" s="138">
        <v>1.1299999999999999</v>
      </c>
      <c r="J12" s="146">
        <v>0</v>
      </c>
    </row>
    <row r="13" spans="1:49" x14ac:dyDescent="0.35">
      <c r="B13" s="125" t="s">
        <v>31</v>
      </c>
      <c r="C13" s="58" t="s">
        <v>32</v>
      </c>
      <c r="D13" s="98">
        <v>0.2857142857142857</v>
      </c>
      <c r="E13" s="42">
        <v>0.2857142857142857</v>
      </c>
      <c r="F13" s="92">
        <v>0.36923076923076925</v>
      </c>
      <c r="G13" s="82">
        <v>0.36923076923076925</v>
      </c>
      <c r="H13" s="48">
        <f>2.4/6.5</f>
        <v>0.3692307692307692</v>
      </c>
      <c r="I13" s="139">
        <f>2.4/6.5</f>
        <v>0.3692307692307692</v>
      </c>
      <c r="J13" s="139">
        <f>2.4/6.5</f>
        <v>0.3692307692307692</v>
      </c>
    </row>
    <row r="14" spans="1:49" x14ac:dyDescent="0.35">
      <c r="B14" s="125" t="s">
        <v>33</v>
      </c>
      <c r="C14" s="58" t="s">
        <v>34</v>
      </c>
      <c r="D14" s="99">
        <v>1.21</v>
      </c>
      <c r="E14" s="108">
        <f>10/6.6+0.15</f>
        <v>1.665151515151515</v>
      </c>
      <c r="F14" s="87">
        <f>10/6.6+0.15</f>
        <v>1.665151515151515</v>
      </c>
      <c r="G14" s="78">
        <f>10/6.6+0.15</f>
        <v>1.665151515151515</v>
      </c>
      <c r="H14" s="108">
        <f>10/6.6+0.15</f>
        <v>1.665151515151515</v>
      </c>
      <c r="I14" s="140">
        <f>10/6.6+0.15</f>
        <v>1.665151515151515</v>
      </c>
      <c r="J14" s="140">
        <f>10/6+0.15</f>
        <v>1.8166666666666667</v>
      </c>
    </row>
    <row r="15" spans="1:49" x14ac:dyDescent="0.35">
      <c r="B15" s="125" t="s">
        <v>35</v>
      </c>
      <c r="C15" s="58" t="s">
        <v>36</v>
      </c>
      <c r="D15" s="99">
        <v>1.54</v>
      </c>
      <c r="E15" s="108">
        <v>1.54</v>
      </c>
      <c r="F15" s="87">
        <v>1.54</v>
      </c>
      <c r="G15" s="78">
        <v>1.54</v>
      </c>
      <c r="H15" s="108">
        <v>1.54</v>
      </c>
      <c r="I15" s="140">
        <v>1.54</v>
      </c>
      <c r="J15" s="140">
        <v>1.54</v>
      </c>
    </row>
    <row r="16" spans="1:49" x14ac:dyDescent="0.35">
      <c r="B16" s="125" t="s">
        <v>37</v>
      </c>
      <c r="C16" s="58" t="s">
        <v>38</v>
      </c>
      <c r="D16" s="98">
        <v>0.36363636363636365</v>
      </c>
      <c r="E16" s="42">
        <v>0.36363636363636365</v>
      </c>
      <c r="F16" s="92">
        <v>0.36923076923076925</v>
      </c>
      <c r="G16" s="82">
        <v>0.36923076923076925</v>
      </c>
      <c r="H16" s="48">
        <v>0.36923076923076925</v>
      </c>
      <c r="I16" s="141">
        <f>2.4/6.5</f>
        <v>0.3692307692307692</v>
      </c>
      <c r="J16" s="141">
        <f>2.4/6.5</f>
        <v>0.3692307692307692</v>
      </c>
    </row>
    <row r="17" spans="2:10" x14ac:dyDescent="0.35">
      <c r="B17" s="125" t="s">
        <v>39</v>
      </c>
      <c r="C17" s="58" t="s">
        <v>40</v>
      </c>
      <c r="D17" s="98">
        <v>0.4</v>
      </c>
      <c r="E17" s="42">
        <v>0.4</v>
      </c>
      <c r="F17" s="92">
        <v>0.37846153846153846</v>
      </c>
      <c r="G17" s="82">
        <v>0.36923076923076925</v>
      </c>
      <c r="H17" s="48">
        <v>0.4</v>
      </c>
      <c r="I17" s="139">
        <v>0.4</v>
      </c>
      <c r="J17" s="139">
        <v>0.4</v>
      </c>
    </row>
    <row r="18" spans="2:10" x14ac:dyDescent="0.35">
      <c r="B18" s="125" t="s">
        <v>41</v>
      </c>
      <c r="C18" s="58" t="s">
        <v>42</v>
      </c>
      <c r="D18" s="96">
        <v>7.716049382716049E-2</v>
      </c>
      <c r="E18" s="106">
        <f>0.5/6.48</f>
        <v>7.716049382716049E-2</v>
      </c>
      <c r="F18" s="84">
        <f>0.5/6.48</f>
        <v>7.716049382716049E-2</v>
      </c>
      <c r="G18" s="75">
        <f>0.5/6.48</f>
        <v>7.716049382716049E-2</v>
      </c>
      <c r="H18" s="106">
        <f>0.5/6.48</f>
        <v>7.716049382716049E-2</v>
      </c>
      <c r="I18" s="140">
        <f>10/6.6+0.15</f>
        <v>1.665151515151515</v>
      </c>
      <c r="J18" s="140">
        <f>10/6.6+0.15</f>
        <v>1.665151515151515</v>
      </c>
    </row>
    <row r="19" spans="2:10" x14ac:dyDescent="0.35">
      <c r="B19" s="125" t="s">
        <v>43</v>
      </c>
      <c r="C19" s="58" t="s">
        <v>44</v>
      </c>
      <c r="D19" s="98">
        <v>0.1929012345679012</v>
      </c>
      <c r="E19" s="42">
        <v>0.1929012345679012</v>
      </c>
      <c r="F19" s="92">
        <v>0.1929012345679012</v>
      </c>
      <c r="G19" s="82">
        <v>0.1929012345679012</v>
      </c>
      <c r="H19" s="48">
        <f>1.25/6.5</f>
        <v>0.19230769230769232</v>
      </c>
      <c r="I19" s="139">
        <f>1.25/6.5</f>
        <v>0.19230769230769232</v>
      </c>
      <c r="J19" s="139">
        <f>1.25/6.5</f>
        <v>0.19230769230769232</v>
      </c>
    </row>
    <row r="20" spans="2:10" x14ac:dyDescent="0.35">
      <c r="B20" s="125" t="s">
        <v>45</v>
      </c>
      <c r="C20" s="59" t="s">
        <v>46</v>
      </c>
      <c r="D20" s="99">
        <v>1.5432098765432096</v>
      </c>
      <c r="E20" s="109" t="s">
        <v>47</v>
      </c>
      <c r="F20" s="91" t="s">
        <v>47</v>
      </c>
      <c r="G20" s="81" t="s">
        <v>47</v>
      </c>
      <c r="H20" s="109" t="s">
        <v>47</v>
      </c>
      <c r="I20" s="142" t="s">
        <v>48</v>
      </c>
      <c r="J20" s="142" t="s">
        <v>48</v>
      </c>
    </row>
    <row r="21" spans="2:10" x14ac:dyDescent="0.35">
      <c r="B21" s="125" t="s">
        <v>49</v>
      </c>
      <c r="C21" s="58" t="s">
        <v>50</v>
      </c>
      <c r="D21" s="98">
        <v>0.18181818181818182</v>
      </c>
      <c r="E21" s="42">
        <v>0.18181818181818182</v>
      </c>
      <c r="F21" s="92">
        <v>0.31550480769230771</v>
      </c>
      <c r="G21" s="93">
        <v>0.34555288461538458</v>
      </c>
      <c r="H21" s="134">
        <v>0.34555288461538458</v>
      </c>
      <c r="I21" s="141">
        <f>((0.035*60)+0.99)/6.5</f>
        <v>0.47538461538461535</v>
      </c>
      <c r="J21" s="141">
        <f>((0.035*60)+0.99)/6.5</f>
        <v>0.47538461538461535</v>
      </c>
    </row>
    <row r="22" spans="2:10" x14ac:dyDescent="0.35">
      <c r="B22" s="125" t="s">
        <v>51</v>
      </c>
      <c r="C22" s="58" t="s">
        <v>52</v>
      </c>
      <c r="D22" s="98">
        <v>0.37037037037037035</v>
      </c>
      <c r="E22" s="42">
        <v>0.37037037037037035</v>
      </c>
      <c r="F22" s="92">
        <v>0.36923076923076925</v>
      </c>
      <c r="G22" s="82">
        <v>0.36923076923076925</v>
      </c>
      <c r="H22" s="48">
        <v>0.36923076923076925</v>
      </c>
      <c r="I22" s="139">
        <v>0.36923076923076925</v>
      </c>
      <c r="J22" s="139">
        <v>0.36923076923076925</v>
      </c>
    </row>
    <row r="23" spans="2:10" x14ac:dyDescent="0.35">
      <c r="B23" s="125" t="s">
        <v>53</v>
      </c>
      <c r="C23" s="58" t="s">
        <v>54</v>
      </c>
      <c r="D23" s="98">
        <v>0.15432098765432098</v>
      </c>
      <c r="E23" s="42">
        <v>0.15432098765432098</v>
      </c>
      <c r="F23" s="92">
        <v>0.15384615384615383</v>
      </c>
      <c r="G23" s="82">
        <v>0.15384615384615383</v>
      </c>
      <c r="H23" s="48">
        <v>0.15384615384615383</v>
      </c>
      <c r="I23" s="141">
        <f>1/6.6</f>
        <v>0.15151515151515152</v>
      </c>
      <c r="J23" s="141">
        <f>1/6.6</f>
        <v>0.15151515151515152</v>
      </c>
    </row>
    <row r="24" spans="2:10" x14ac:dyDescent="0.35">
      <c r="B24" s="125" t="s">
        <v>55</v>
      </c>
      <c r="C24" s="60" t="s">
        <v>56</v>
      </c>
      <c r="D24" s="170" t="s">
        <v>103</v>
      </c>
      <c r="E24" s="5">
        <v>0.36363636363636365</v>
      </c>
      <c r="F24" s="92">
        <v>0.36363636363636365</v>
      </c>
      <c r="G24" s="82">
        <v>0.36363636363636365</v>
      </c>
      <c r="H24" s="48">
        <f>2.4/6.5</f>
        <v>0.3692307692307692</v>
      </c>
      <c r="I24" s="139">
        <f>2.4/6.5</f>
        <v>0.3692307692307692</v>
      </c>
      <c r="J24" s="139">
        <f>2.4/6.5</f>
        <v>0.3692307692307692</v>
      </c>
    </row>
    <row r="25" spans="2:10" x14ac:dyDescent="0.35">
      <c r="B25" s="125" t="s">
        <v>58</v>
      </c>
      <c r="C25" s="58" t="s">
        <v>59</v>
      </c>
      <c r="D25" s="170" t="s">
        <v>103</v>
      </c>
      <c r="E25" s="5">
        <v>0.24</v>
      </c>
      <c r="F25" s="92">
        <v>0.24</v>
      </c>
      <c r="G25" s="82">
        <v>0.24</v>
      </c>
      <c r="H25" s="48">
        <v>0.24</v>
      </c>
      <c r="I25" s="139">
        <v>0.24</v>
      </c>
      <c r="J25" s="139">
        <v>0.24</v>
      </c>
    </row>
    <row r="26" spans="2:10" x14ac:dyDescent="0.35">
      <c r="B26" s="125" t="s">
        <v>60</v>
      </c>
      <c r="C26" s="58" t="s">
        <v>61</v>
      </c>
      <c r="D26" s="170" t="s">
        <v>103</v>
      </c>
      <c r="E26" s="5">
        <v>0.2</v>
      </c>
      <c r="F26" s="92">
        <v>0.2</v>
      </c>
      <c r="G26" s="82">
        <v>0.2</v>
      </c>
      <c r="H26" s="48">
        <v>0.2</v>
      </c>
      <c r="I26" s="139">
        <v>0.2</v>
      </c>
      <c r="J26" s="139">
        <v>0.2</v>
      </c>
    </row>
    <row r="27" spans="2:10" x14ac:dyDescent="0.35">
      <c r="B27" s="125" t="s">
        <v>62</v>
      </c>
      <c r="C27" s="58" t="s">
        <v>63</v>
      </c>
      <c r="D27" s="170" t="s">
        <v>103</v>
      </c>
      <c r="E27" s="5">
        <v>0.3</v>
      </c>
      <c r="F27" s="92">
        <v>0.3</v>
      </c>
      <c r="G27" s="82">
        <v>0.3</v>
      </c>
      <c r="H27" s="48">
        <v>0.3</v>
      </c>
      <c r="I27" s="139">
        <v>0.3</v>
      </c>
      <c r="J27" s="139">
        <v>0.3</v>
      </c>
    </row>
    <row r="28" spans="2:10" x14ac:dyDescent="0.35">
      <c r="B28" s="125" t="s">
        <v>64</v>
      </c>
      <c r="C28" s="58" t="s">
        <v>65</v>
      </c>
      <c r="D28" s="170" t="s">
        <v>103</v>
      </c>
      <c r="E28" s="5">
        <v>0.2106060606060606</v>
      </c>
      <c r="F28" s="92">
        <v>0.2106060606060606</v>
      </c>
      <c r="G28" s="82">
        <v>0.2106060606060606</v>
      </c>
      <c r="H28" s="48">
        <v>0.2106060606060606</v>
      </c>
      <c r="I28" s="139">
        <v>0.2106060606060606</v>
      </c>
      <c r="J28" s="139">
        <v>0.2106060606060606</v>
      </c>
    </row>
    <row r="29" spans="2:10" x14ac:dyDescent="0.35">
      <c r="B29" s="125" t="s">
        <v>66</v>
      </c>
      <c r="C29" s="58" t="s">
        <v>104</v>
      </c>
      <c r="D29" s="170" t="s">
        <v>103</v>
      </c>
      <c r="E29" s="5">
        <v>0.34699999999999998</v>
      </c>
      <c r="F29" s="92">
        <v>0.34699999999999998</v>
      </c>
      <c r="G29" s="82">
        <v>0.37846153846153846</v>
      </c>
      <c r="H29" s="48">
        <v>0.32</v>
      </c>
      <c r="I29" s="139">
        <v>0.32</v>
      </c>
      <c r="J29" s="139">
        <v>0.32</v>
      </c>
    </row>
    <row r="30" spans="2:10" x14ac:dyDescent="0.35">
      <c r="B30" s="125" t="s">
        <v>105</v>
      </c>
      <c r="C30" s="58" t="s">
        <v>106</v>
      </c>
      <c r="D30" s="170" t="s">
        <v>107</v>
      </c>
      <c r="E30" s="122"/>
      <c r="F30" s="122"/>
      <c r="G30" s="122"/>
      <c r="H30" s="48">
        <v>0.3</v>
      </c>
      <c r="I30" s="139">
        <v>0.3</v>
      </c>
      <c r="J30" s="139">
        <v>0.3</v>
      </c>
    </row>
    <row r="31" spans="2:10" x14ac:dyDescent="0.35">
      <c r="B31" s="125" t="s">
        <v>108</v>
      </c>
      <c r="C31" s="58" t="s">
        <v>109</v>
      </c>
      <c r="D31" s="170" t="s">
        <v>107</v>
      </c>
      <c r="E31" s="122"/>
      <c r="F31" s="122"/>
      <c r="G31" s="122"/>
      <c r="H31" s="48">
        <v>0.14000000000000001</v>
      </c>
      <c r="I31" s="139">
        <v>0.14000000000000001</v>
      </c>
      <c r="J31" s="139">
        <v>0.14000000000000001</v>
      </c>
    </row>
    <row r="32" spans="2:10" x14ac:dyDescent="0.35">
      <c r="B32" s="125" t="s">
        <v>110</v>
      </c>
      <c r="C32" s="58" t="s">
        <v>111</v>
      </c>
      <c r="D32" s="170" t="s">
        <v>107</v>
      </c>
      <c r="E32" s="122"/>
      <c r="F32" s="122"/>
      <c r="G32" s="122"/>
      <c r="H32" s="48">
        <f>2.46/6.5</f>
        <v>0.37846153846153846</v>
      </c>
      <c r="I32" s="139">
        <f>2.46/6.5</f>
        <v>0.37846153846153846</v>
      </c>
      <c r="J32" s="139">
        <f>2.46/6.5</f>
        <v>0.37846153846153846</v>
      </c>
    </row>
    <row r="33" spans="1:10" x14ac:dyDescent="0.35">
      <c r="B33" s="125" t="s">
        <v>112</v>
      </c>
      <c r="C33" s="58" t="s">
        <v>113</v>
      </c>
      <c r="D33" s="170" t="s">
        <v>107</v>
      </c>
      <c r="E33" s="122"/>
      <c r="F33" s="122"/>
      <c r="G33" s="122"/>
      <c r="H33" s="48">
        <v>0.16</v>
      </c>
      <c r="I33" s="139">
        <v>0.16</v>
      </c>
      <c r="J33" s="139">
        <v>1.1599999999999999</v>
      </c>
    </row>
    <row r="34" spans="1:10" x14ac:dyDescent="0.35">
      <c r="B34" s="125" t="s">
        <v>114</v>
      </c>
      <c r="C34" s="58" t="s">
        <v>115</v>
      </c>
      <c r="D34" s="170" t="s">
        <v>107</v>
      </c>
      <c r="E34" s="122"/>
      <c r="F34" s="122"/>
      <c r="G34" s="122"/>
      <c r="H34" s="48">
        <f>2.46/6.5</f>
        <v>0.37846153846153846</v>
      </c>
      <c r="I34" s="139">
        <f>2.46/6.5</f>
        <v>0.37846153846153846</v>
      </c>
      <c r="J34" s="139">
        <f>2.46/6.5</f>
        <v>0.37846153846153846</v>
      </c>
    </row>
    <row r="35" spans="1:10" x14ac:dyDescent="0.35">
      <c r="B35" s="72"/>
      <c r="D35" s="100"/>
      <c r="E35" s="122"/>
      <c r="F35" s="122"/>
      <c r="G35" s="122"/>
      <c r="I35" s="136"/>
      <c r="J35" s="136"/>
    </row>
    <row r="36" spans="1:10" x14ac:dyDescent="0.35">
      <c r="B36" s="72"/>
      <c r="D36" s="100"/>
      <c r="E36" s="122"/>
      <c r="F36" s="122"/>
      <c r="G36" s="122"/>
      <c r="I36" s="136"/>
      <c r="J36" s="136"/>
    </row>
    <row r="37" spans="1:10" x14ac:dyDescent="0.35">
      <c r="B37" s="73"/>
      <c r="C37" s="74"/>
      <c r="D37" s="101"/>
      <c r="E37" s="123"/>
      <c r="F37" s="122"/>
      <c r="G37" s="122"/>
      <c r="I37" s="136"/>
      <c r="J37" s="136"/>
    </row>
    <row r="38" spans="1:10" x14ac:dyDescent="0.35">
      <c r="A38" s="55" t="s">
        <v>68</v>
      </c>
      <c r="B38" s="40" t="s">
        <v>69</v>
      </c>
      <c r="C38" s="40"/>
      <c r="D38" s="102">
        <f>AVERAGE(D22,D23,D21,D19,D17,D16,D13)</f>
        <v>0.27839448910877479</v>
      </c>
      <c r="E38" s="54">
        <f>AVERAGE(E22,E23,E21,E19,E17,E16,E13,E24:E29)</f>
        <v>0.27769260369260362</v>
      </c>
      <c r="F38" s="89">
        <f>AVERAGE(F22,F23,F21,F19,F17,F16,F13,F24:F29)</f>
        <v>0.29304988203866411</v>
      </c>
      <c r="G38" s="79">
        <f>AVERAGE(G22,G23,G21,G19,G17,G16,G13,G24:G29)</f>
        <v>0.29707133174280609</v>
      </c>
      <c r="H38" s="54">
        <f>AVERAGE(H22,H23,H21,H19,H17,H16,H13,H24:H36)</f>
        <v>0.28867549695674688</v>
      </c>
      <c r="I38" s="143">
        <f>AVERAGE(I22,I23,I21,I19,I17,I16,I13,I24:I36)</f>
        <v>0.2957588707588707</v>
      </c>
      <c r="J38" s="143">
        <f>AVERAGE(J22,J23,J21,J19,J17,J16,J13,J24:J36)</f>
        <v>0.35131442631442622</v>
      </c>
    </row>
    <row r="39" spans="1:10" x14ac:dyDescent="0.35">
      <c r="A39" s="55" t="s">
        <v>70</v>
      </c>
      <c r="B39" s="182" t="s">
        <v>116</v>
      </c>
      <c r="C39" s="182"/>
      <c r="D39" s="103" t="s">
        <v>117</v>
      </c>
      <c r="E39" s="106"/>
      <c r="F39" s="84"/>
      <c r="G39" s="75"/>
      <c r="H39" s="42"/>
      <c r="I39" s="144"/>
      <c r="J39" s="144"/>
    </row>
    <row r="40" spans="1:10" x14ac:dyDescent="0.35">
      <c r="A40" s="55" t="s">
        <v>72</v>
      </c>
      <c r="B40" t="s">
        <v>75</v>
      </c>
      <c r="D40" s="98">
        <f>D38*0.014</f>
        <v>3.8975228475228471E-3</v>
      </c>
      <c r="E40" s="42">
        <f t="shared" ref="E40:G40" si="0">E38*0.014</f>
        <v>3.887696451696451E-3</v>
      </c>
      <c r="F40" s="86">
        <f t="shared" si="0"/>
        <v>4.1026983485412975E-3</v>
      </c>
      <c r="G40" s="77">
        <f t="shared" si="0"/>
        <v>4.1589986443992854E-3</v>
      </c>
      <c r="H40" s="42">
        <f t="shared" ref="H40:I40" si="1">H38*0.014</f>
        <v>4.0414569573944568E-3</v>
      </c>
      <c r="I40" s="144">
        <f t="shared" si="1"/>
        <v>4.1406241906241899E-3</v>
      </c>
      <c r="J40" s="144">
        <f t="shared" ref="J40" si="2">J38*0.014</f>
        <v>4.9184019684019673E-3</v>
      </c>
    </row>
    <row r="41" spans="1:10" x14ac:dyDescent="0.35">
      <c r="A41" s="55" t="s">
        <v>74</v>
      </c>
      <c r="B41" t="s">
        <v>118</v>
      </c>
      <c r="D41" s="98">
        <f>D40+D38</f>
        <v>0.28229201195629766</v>
      </c>
      <c r="E41" s="42">
        <f t="shared" ref="E41:G41" si="3">E40+E38</f>
        <v>0.28158030014430008</v>
      </c>
      <c r="F41" s="86">
        <f t="shared" si="3"/>
        <v>0.29715258038720543</v>
      </c>
      <c r="G41" s="77">
        <f t="shared" si="3"/>
        <v>0.30123033038720537</v>
      </c>
      <c r="H41" s="42">
        <f t="shared" ref="H41:I41" si="4">H40+H38</f>
        <v>0.29271695391414132</v>
      </c>
      <c r="I41" s="144">
        <f t="shared" si="4"/>
        <v>0.29989949494949486</v>
      </c>
      <c r="J41" s="144">
        <f t="shared" ref="J41" si="5">J40+J38</f>
        <v>0.35623282828282821</v>
      </c>
    </row>
    <row r="42" spans="1:10" ht="15" thickBot="1" x14ac:dyDescent="0.4">
      <c r="A42" s="55" t="s">
        <v>76</v>
      </c>
      <c r="B42" t="s">
        <v>79</v>
      </c>
      <c r="D42" s="98">
        <f>D41*0.07</f>
        <v>1.9760440836940837E-2</v>
      </c>
      <c r="E42" s="42">
        <f t="shared" ref="E42:G42" si="6">E41*0.07</f>
        <v>1.9710621010101008E-2</v>
      </c>
      <c r="F42" s="86">
        <f t="shared" si="6"/>
        <v>2.0800680627104381E-2</v>
      </c>
      <c r="G42" s="77">
        <f t="shared" si="6"/>
        <v>2.1086123127104377E-2</v>
      </c>
      <c r="H42" s="42">
        <f t="shared" ref="H42:I42" si="7">H41*0.07</f>
        <v>2.0490186773989894E-2</v>
      </c>
      <c r="I42" s="144">
        <f t="shared" si="7"/>
        <v>2.0992964646464642E-2</v>
      </c>
      <c r="J42" s="144">
        <f t="shared" ref="J42" si="8">J41*0.07</f>
        <v>2.4936297979797978E-2</v>
      </c>
    </row>
    <row r="43" spans="1:10" ht="15" thickBot="1" x14ac:dyDescent="0.4">
      <c r="A43" s="55" t="s">
        <v>78</v>
      </c>
      <c r="B43" s="66" t="s">
        <v>119</v>
      </c>
      <c r="C43" s="67"/>
      <c r="D43" s="119">
        <f>D41+D42</f>
        <v>0.3020524527932385</v>
      </c>
      <c r="E43" s="120">
        <f t="shared" ref="E43:G43" si="9">E41+E42</f>
        <v>0.30129092115440109</v>
      </c>
      <c r="F43" s="121">
        <f t="shared" si="9"/>
        <v>0.31795326101430982</v>
      </c>
      <c r="G43" s="128">
        <f t="shared" si="9"/>
        <v>0.32231645351430976</v>
      </c>
      <c r="H43" s="120">
        <f t="shared" ref="H43:I43" si="10">H41+H42</f>
        <v>0.31320714068813121</v>
      </c>
      <c r="I43" s="145">
        <f t="shared" si="10"/>
        <v>0.32089245959595952</v>
      </c>
      <c r="J43" s="145">
        <f t="shared" ref="J43" si="11">J41+J42</f>
        <v>0.38116912626262617</v>
      </c>
    </row>
    <row r="44" spans="1:10" x14ac:dyDescent="0.35">
      <c r="A44" s="55"/>
      <c r="D44" s="42"/>
      <c r="E44" s="42"/>
      <c r="F44" s="42"/>
      <c r="G44" s="42"/>
      <c r="H44" s="42"/>
      <c r="I44" s="42"/>
      <c r="J44" s="42"/>
    </row>
    <row r="45" spans="1:10" x14ac:dyDescent="0.35">
      <c r="B45" s="40"/>
      <c r="C45" s="40"/>
      <c r="D45" s="40"/>
      <c r="E45" s="40"/>
    </row>
    <row r="46" spans="1:10" x14ac:dyDescent="0.35">
      <c r="B46" s="181"/>
      <c r="C46" s="181"/>
      <c r="D46" s="181"/>
      <c r="E46" s="40"/>
    </row>
    <row r="47" spans="1:10" x14ac:dyDescent="0.35">
      <c r="B47" s="40"/>
      <c r="C47" s="40"/>
      <c r="D47" s="40"/>
      <c r="E47" s="40"/>
    </row>
    <row r="48" spans="1:10" x14ac:dyDescent="0.35">
      <c r="B48" s="181"/>
      <c r="C48" s="181"/>
    </row>
    <row r="49" spans="1:51" x14ac:dyDescent="0.35">
      <c r="A49" s="62"/>
      <c r="B49" s="185" t="s">
        <v>82</v>
      </c>
      <c r="C49" s="185"/>
      <c r="D49" s="185"/>
      <c r="E49" s="185"/>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row>
    <row r="50" spans="1:51" x14ac:dyDescent="0.35">
      <c r="B50" s="184" t="s">
        <v>20</v>
      </c>
      <c r="C50" s="184"/>
      <c r="D50" s="184"/>
      <c r="E50" s="184"/>
    </row>
    <row r="51" spans="1:51" ht="15" thickBot="1" x14ac:dyDescent="0.4">
      <c r="B51" s="181"/>
      <c r="C51" s="181"/>
      <c r="D51" s="181"/>
      <c r="E51" s="181"/>
    </row>
    <row r="52" spans="1:51" x14ac:dyDescent="0.35">
      <c r="B52" s="69" t="s">
        <v>21</v>
      </c>
      <c r="C52" s="70"/>
      <c r="D52" s="164" t="s">
        <v>83</v>
      </c>
      <c r="E52" s="104">
        <v>45292</v>
      </c>
      <c r="F52" s="90">
        <v>45323</v>
      </c>
      <c r="G52" s="80">
        <v>45352</v>
      </c>
      <c r="H52" s="104">
        <v>45383</v>
      </c>
      <c r="I52" s="153">
        <v>45413</v>
      </c>
      <c r="J52" s="135">
        <v>45444</v>
      </c>
      <c r="K52" s="44">
        <v>45474</v>
      </c>
      <c r="L52" s="44">
        <v>45505</v>
      </c>
      <c r="M52" s="44">
        <v>45536</v>
      </c>
      <c r="N52" s="44">
        <v>45566</v>
      </c>
      <c r="O52" s="44">
        <v>45597</v>
      </c>
      <c r="P52" s="44">
        <v>45627</v>
      </c>
    </row>
    <row r="53" spans="1:51" x14ac:dyDescent="0.35">
      <c r="B53" s="71"/>
      <c r="C53" s="181"/>
      <c r="D53" s="165" t="s">
        <v>25</v>
      </c>
      <c r="E53" s="117" t="s">
        <v>25</v>
      </c>
      <c r="F53" s="118" t="s">
        <v>25</v>
      </c>
      <c r="G53" s="129" t="s">
        <v>25</v>
      </c>
      <c r="I53" s="154"/>
      <c r="J53" s="136"/>
    </row>
    <row r="54" spans="1:51" x14ac:dyDescent="0.35">
      <c r="B54" s="125" t="s">
        <v>49</v>
      </c>
      <c r="C54" s="58" t="s">
        <v>84</v>
      </c>
      <c r="D54" s="166">
        <v>0.36</v>
      </c>
      <c r="E54" s="1">
        <v>0.36</v>
      </c>
      <c r="F54" s="110">
        <v>0.36</v>
      </c>
      <c r="G54" s="112">
        <v>0.52</v>
      </c>
      <c r="H54" s="134">
        <v>0.52</v>
      </c>
      <c r="I54" s="155">
        <v>0.53</v>
      </c>
      <c r="J54" s="149">
        <v>0.56000000000000005</v>
      </c>
    </row>
    <row r="55" spans="1:51" x14ac:dyDescent="0.35">
      <c r="B55" s="125" t="s">
        <v>85</v>
      </c>
      <c r="C55" s="58" t="s">
        <v>86</v>
      </c>
      <c r="D55" s="166">
        <v>0.43</v>
      </c>
      <c r="E55" s="1">
        <v>0.43</v>
      </c>
      <c r="F55" s="110">
        <v>0.43</v>
      </c>
      <c r="G55" s="113">
        <v>0.56000000000000005</v>
      </c>
      <c r="H55" s="48">
        <v>0.56000000000000005</v>
      </c>
      <c r="I55" s="156">
        <v>0.56000000000000005</v>
      </c>
      <c r="J55" s="139">
        <f>0.56</f>
        <v>0.56000000000000005</v>
      </c>
    </row>
    <row r="56" spans="1:51" x14ac:dyDescent="0.35">
      <c r="B56" s="125" t="s">
        <v>87</v>
      </c>
      <c r="C56" s="58" t="s">
        <v>88</v>
      </c>
      <c r="D56" s="166">
        <v>0.43</v>
      </c>
      <c r="E56" s="1">
        <v>0.43</v>
      </c>
      <c r="F56" s="110">
        <v>0.43</v>
      </c>
      <c r="G56" s="114">
        <v>0.56000000000000005</v>
      </c>
      <c r="H56" s="147">
        <v>0.56000000000000005</v>
      </c>
      <c r="I56" s="157">
        <v>0.56000000000000005</v>
      </c>
      <c r="J56" s="150">
        <v>0.56000000000000005</v>
      </c>
    </row>
    <row r="57" spans="1:51" x14ac:dyDescent="0.35">
      <c r="B57" s="125" t="s">
        <v>89</v>
      </c>
      <c r="C57" s="58" t="s">
        <v>90</v>
      </c>
      <c r="D57" s="166">
        <v>0.36</v>
      </c>
      <c r="E57" s="1">
        <v>0.36</v>
      </c>
      <c r="F57" s="110">
        <v>0.36</v>
      </c>
      <c r="G57" s="112">
        <v>0.52</v>
      </c>
      <c r="H57" s="134">
        <v>0.52</v>
      </c>
      <c r="I57" s="155">
        <v>0.53</v>
      </c>
      <c r="J57" s="149">
        <v>0.56000000000000005</v>
      </c>
    </row>
    <row r="58" spans="1:51" x14ac:dyDescent="0.35">
      <c r="B58" s="125" t="s">
        <v>91</v>
      </c>
      <c r="C58" s="58" t="s">
        <v>92</v>
      </c>
      <c r="D58" s="167">
        <v>0.06</v>
      </c>
      <c r="E58" s="116">
        <v>0.06</v>
      </c>
      <c r="F58" s="111">
        <v>0.06</v>
      </c>
      <c r="G58" s="115" t="s">
        <v>47</v>
      </c>
      <c r="H58" s="148" t="s">
        <v>47</v>
      </c>
      <c r="I58" s="158" t="s">
        <v>47</v>
      </c>
      <c r="J58" s="151" t="s">
        <v>47</v>
      </c>
    </row>
    <row r="59" spans="1:51" x14ac:dyDescent="0.35">
      <c r="B59" s="125" t="s">
        <v>93</v>
      </c>
      <c r="C59" s="58" t="s">
        <v>94</v>
      </c>
      <c r="D59" s="166">
        <v>0.36</v>
      </c>
      <c r="E59" s="1">
        <v>0.36</v>
      </c>
      <c r="F59" s="110">
        <v>0.36</v>
      </c>
      <c r="G59" s="112">
        <v>0.52</v>
      </c>
      <c r="H59" s="46" t="s">
        <v>47</v>
      </c>
      <c r="I59" s="159" t="s">
        <v>47</v>
      </c>
      <c r="J59" s="152" t="s">
        <v>47</v>
      </c>
    </row>
    <row r="60" spans="1:51" x14ac:dyDescent="0.35">
      <c r="B60" s="125" t="s">
        <v>85</v>
      </c>
      <c r="C60" s="58" t="s">
        <v>95</v>
      </c>
      <c r="D60" s="169" t="s">
        <v>120</v>
      </c>
      <c r="E60" s="41"/>
      <c r="F60" s="88"/>
      <c r="G60" s="113">
        <v>0.46</v>
      </c>
      <c r="H60" s="48">
        <v>0.46</v>
      </c>
      <c r="I60" s="160">
        <v>0.53</v>
      </c>
      <c r="J60" s="141">
        <v>0.53</v>
      </c>
    </row>
    <row r="61" spans="1:51" x14ac:dyDescent="0.35">
      <c r="B61" s="125" t="s">
        <v>85</v>
      </c>
      <c r="C61" s="58" t="s">
        <v>121</v>
      </c>
      <c r="D61" s="169" t="s">
        <v>107</v>
      </c>
      <c r="E61" s="41"/>
      <c r="F61" s="88"/>
      <c r="G61" s="124"/>
      <c r="H61" s="48">
        <v>0.64</v>
      </c>
      <c r="I61" s="156">
        <v>0.64</v>
      </c>
      <c r="J61" s="139">
        <v>0.64</v>
      </c>
    </row>
    <row r="62" spans="1:51" x14ac:dyDescent="0.35">
      <c r="B62" s="125" t="s">
        <v>122</v>
      </c>
      <c r="C62" s="58" t="s">
        <v>123</v>
      </c>
      <c r="D62" s="169" t="s">
        <v>124</v>
      </c>
      <c r="E62" s="41"/>
      <c r="F62" s="88"/>
      <c r="G62" s="124"/>
      <c r="H62" s="48"/>
      <c r="I62" s="156"/>
      <c r="J62" s="141">
        <v>0.4</v>
      </c>
    </row>
    <row r="63" spans="1:51" x14ac:dyDescent="0.35">
      <c r="B63" s="125" t="s">
        <v>125</v>
      </c>
      <c r="C63" s="58" t="s">
        <v>126</v>
      </c>
      <c r="D63" s="169" t="s">
        <v>124</v>
      </c>
      <c r="E63" s="41"/>
      <c r="F63" s="88"/>
      <c r="G63" s="124"/>
      <c r="H63" s="48"/>
      <c r="I63" s="156"/>
      <c r="J63" s="141">
        <v>0.41</v>
      </c>
    </row>
    <row r="64" spans="1:51" x14ac:dyDescent="0.35">
      <c r="B64" s="73"/>
      <c r="C64" s="74"/>
      <c r="D64" s="168"/>
      <c r="E64" s="41"/>
      <c r="F64" s="92"/>
      <c r="G64" s="113"/>
      <c r="I64" s="154"/>
      <c r="J64" s="136"/>
    </row>
    <row r="65" spans="1:10" x14ac:dyDescent="0.35">
      <c r="A65" s="55" t="s">
        <v>68</v>
      </c>
      <c r="B65" s="40" t="s">
        <v>69</v>
      </c>
      <c r="C65" s="40"/>
      <c r="D65" s="143">
        <f>AVERAGE(D54:D57,D59)</f>
        <v>0.38800000000000001</v>
      </c>
      <c r="E65" s="54">
        <f t="shared" ref="E65:F65" si="12">AVERAGE(E54:E57,E59)</f>
        <v>0.38800000000000001</v>
      </c>
      <c r="F65" s="89">
        <f t="shared" si="12"/>
        <v>0.38800000000000001</v>
      </c>
      <c r="G65" s="79">
        <f>AVERAGE(G54:G57,G59:G61)</f>
        <v>0.52333333333333332</v>
      </c>
      <c r="H65" s="54">
        <f>AVERAGE(H54:H57,H60:H61)</f>
        <v>0.54333333333333333</v>
      </c>
      <c r="I65" s="161">
        <f>AVERAGE(I54:I57,I60:I61)</f>
        <v>0.55833333333333335</v>
      </c>
      <c r="J65" s="143">
        <f>AVERAGE(J54:J57,J60:J63)</f>
        <v>0.52750000000000008</v>
      </c>
    </row>
    <row r="66" spans="1:10" x14ac:dyDescent="0.35">
      <c r="A66" s="55" t="s">
        <v>70</v>
      </c>
      <c r="B66" t="s">
        <v>75</v>
      </c>
      <c r="D66" s="144">
        <f>D65*0.014</f>
        <v>5.4320000000000002E-3</v>
      </c>
      <c r="E66" s="42">
        <f>E65*0.014</f>
        <v>5.4320000000000002E-3</v>
      </c>
      <c r="F66" s="86">
        <f t="shared" ref="F66" si="13">F65*0.014</f>
        <v>5.4320000000000002E-3</v>
      </c>
      <c r="G66" s="77">
        <f t="shared" ref="G66:H66" si="14">G65*0.014</f>
        <v>7.3266666666666662E-3</v>
      </c>
      <c r="H66" s="42">
        <f t="shared" si="14"/>
        <v>7.606666666666667E-3</v>
      </c>
      <c r="I66" s="162">
        <f t="shared" ref="I66:J66" si="15">I65*0.014</f>
        <v>7.8166666666666662E-3</v>
      </c>
      <c r="J66" s="144">
        <f t="shared" si="15"/>
        <v>7.3850000000000009E-3</v>
      </c>
    </row>
    <row r="67" spans="1:10" x14ac:dyDescent="0.35">
      <c r="A67" s="55" t="s">
        <v>72</v>
      </c>
      <c r="B67" t="s">
        <v>96</v>
      </c>
      <c r="D67" s="144">
        <f>D65+D66</f>
        <v>0.393432</v>
      </c>
      <c r="E67" s="42">
        <f t="shared" ref="E67" si="16">E65+E66</f>
        <v>0.393432</v>
      </c>
      <c r="F67" s="86">
        <f t="shared" ref="F67" si="17">F65+F66</f>
        <v>0.393432</v>
      </c>
      <c r="G67" s="77">
        <f t="shared" ref="G67:H67" si="18">G65+G66</f>
        <v>0.53066000000000002</v>
      </c>
      <c r="H67" s="42">
        <f t="shared" si="18"/>
        <v>0.55093999999999999</v>
      </c>
      <c r="I67" s="162">
        <f t="shared" ref="I67:J67" si="19">I65+I66</f>
        <v>0.56615000000000004</v>
      </c>
      <c r="J67" s="144">
        <f t="shared" si="19"/>
        <v>0.53488500000000005</v>
      </c>
    </row>
    <row r="68" spans="1:10" ht="15" thickBot="1" x14ac:dyDescent="0.4">
      <c r="A68" s="55" t="s">
        <v>74</v>
      </c>
      <c r="B68" t="s">
        <v>79</v>
      </c>
      <c r="D68" s="144">
        <f>D67*0.07</f>
        <v>2.7540240000000004E-2</v>
      </c>
      <c r="E68" s="42">
        <f t="shared" ref="E68" si="20">E67*0.07</f>
        <v>2.7540240000000004E-2</v>
      </c>
      <c r="F68" s="86">
        <f t="shared" ref="F68" si="21">F67*0.07</f>
        <v>2.7540240000000004E-2</v>
      </c>
      <c r="G68" s="77">
        <f t="shared" ref="G68:H68" si="22">G67*0.07</f>
        <v>3.7146200000000004E-2</v>
      </c>
      <c r="H68" s="42">
        <f t="shared" si="22"/>
        <v>3.8565800000000004E-2</v>
      </c>
      <c r="I68" s="162">
        <f t="shared" ref="I68:J68" si="23">I67*0.07</f>
        <v>3.9630500000000006E-2</v>
      </c>
      <c r="J68" s="144">
        <f t="shared" si="23"/>
        <v>3.7441950000000009E-2</v>
      </c>
    </row>
    <row r="69" spans="1:10" ht="15" thickBot="1" x14ac:dyDescent="0.4">
      <c r="A69" s="55" t="s">
        <v>76</v>
      </c>
      <c r="B69" s="66" t="s">
        <v>97</v>
      </c>
      <c r="C69" s="67"/>
      <c r="D69" s="145">
        <f>SUM(D67:D68)</f>
        <v>0.42097224</v>
      </c>
      <c r="E69" s="120">
        <f>SUM(E67:E68)</f>
        <v>0.42097224</v>
      </c>
      <c r="F69" s="121">
        <f t="shared" ref="F69" si="24">SUM(F67:F68)</f>
        <v>0.42097224</v>
      </c>
      <c r="G69" s="126">
        <f t="shared" ref="G69:H69" si="25">SUM(G67:G68)</f>
        <v>0.56780620000000004</v>
      </c>
      <c r="H69" s="120">
        <f t="shared" si="25"/>
        <v>0.58950579999999997</v>
      </c>
      <c r="I69" s="163">
        <f t="shared" ref="I69:J69" si="26">SUM(I67:I68)</f>
        <v>0.60578050000000006</v>
      </c>
      <c r="J69" s="145">
        <f t="shared" si="26"/>
        <v>0.57232695000000011</v>
      </c>
    </row>
    <row r="70" spans="1:10" x14ac:dyDescent="0.35">
      <c r="B70" s="40"/>
      <c r="C70" s="40"/>
      <c r="D70" s="40"/>
      <c r="E70" s="40"/>
    </row>
    <row r="82" spans="3:7" x14ac:dyDescent="0.35">
      <c r="C82" t="s">
        <v>127</v>
      </c>
    </row>
    <row r="83" spans="3:7" x14ac:dyDescent="0.35">
      <c r="C83" s="2" t="s">
        <v>128</v>
      </c>
      <c r="D83">
        <v>8</v>
      </c>
      <c r="E83" s="131">
        <v>0.42</v>
      </c>
      <c r="F83" s="132">
        <f>D83*E83</f>
        <v>3.36</v>
      </c>
    </row>
    <row r="84" spans="3:7" x14ac:dyDescent="0.35">
      <c r="C84" s="2" t="s">
        <v>129</v>
      </c>
      <c r="D84">
        <v>6</v>
      </c>
      <c r="E84" s="131">
        <v>0.49</v>
      </c>
      <c r="F84" s="132">
        <f t="shared" ref="F84:F86" si="27">D84*E84</f>
        <v>2.94</v>
      </c>
    </row>
    <row r="85" spans="3:7" x14ac:dyDescent="0.35">
      <c r="C85" s="2" t="s">
        <v>130</v>
      </c>
      <c r="D85">
        <v>7</v>
      </c>
      <c r="E85" s="131">
        <v>0.56000000000000005</v>
      </c>
      <c r="F85" s="132">
        <f t="shared" si="27"/>
        <v>3.9200000000000004</v>
      </c>
    </row>
    <row r="86" spans="3:7" x14ac:dyDescent="0.35">
      <c r="C86" s="2" t="s">
        <v>131</v>
      </c>
      <c r="D86">
        <v>3</v>
      </c>
      <c r="E86" s="131">
        <v>0.49</v>
      </c>
      <c r="F86" s="132">
        <f t="shared" si="27"/>
        <v>1.47</v>
      </c>
    </row>
    <row r="87" spans="3:7" x14ac:dyDescent="0.35">
      <c r="D87">
        <f>SUM(D83:D86)</f>
        <v>24</v>
      </c>
      <c r="F87" s="132">
        <f>SUM(F83:F86)+0.99</f>
        <v>12.680000000000001</v>
      </c>
      <c r="G87" s="132">
        <f>F87/D87</f>
        <v>0.52833333333333343</v>
      </c>
    </row>
    <row r="88" spans="3:7" x14ac:dyDescent="0.35">
      <c r="C88" t="s">
        <v>132</v>
      </c>
    </row>
    <row r="89" spans="3:7" x14ac:dyDescent="0.35">
      <c r="C89" s="2" t="s">
        <v>128</v>
      </c>
      <c r="D89">
        <v>8</v>
      </c>
      <c r="E89" s="131">
        <v>0.45</v>
      </c>
      <c r="F89" s="132">
        <f>D89*E89</f>
        <v>3.6</v>
      </c>
    </row>
    <row r="90" spans="3:7" x14ac:dyDescent="0.35">
      <c r="C90" s="2" t="s">
        <v>133</v>
      </c>
      <c r="D90">
        <v>3</v>
      </c>
      <c r="E90" s="131">
        <v>0.52</v>
      </c>
      <c r="F90" s="132">
        <f t="shared" ref="F90:F92" si="28">D90*E90</f>
        <v>1.56</v>
      </c>
    </row>
    <row r="91" spans="3:7" x14ac:dyDescent="0.35">
      <c r="C91" s="2" t="s">
        <v>134</v>
      </c>
      <c r="D91">
        <v>7</v>
      </c>
      <c r="E91" s="131">
        <v>0.59</v>
      </c>
      <c r="F91" s="132">
        <f t="shared" si="28"/>
        <v>4.13</v>
      </c>
    </row>
    <row r="92" spans="3:7" x14ac:dyDescent="0.35">
      <c r="C92" s="2" t="s">
        <v>135</v>
      </c>
      <c r="D92">
        <v>6</v>
      </c>
      <c r="E92" s="131">
        <v>0.52</v>
      </c>
      <c r="F92" s="132">
        <f t="shared" si="28"/>
        <v>3.12</v>
      </c>
    </row>
    <row r="93" spans="3:7" x14ac:dyDescent="0.35">
      <c r="D93">
        <f>SUM(D89:D92)</f>
        <v>24</v>
      </c>
      <c r="F93" s="132">
        <f>SUM(F89:F92)+0.99</f>
        <v>13.4</v>
      </c>
      <c r="G93" s="132">
        <f>F93/D93</f>
        <v>0.55833333333333335</v>
      </c>
    </row>
  </sheetData>
  <mergeCells count="7">
    <mergeCell ref="B6:E6"/>
    <mergeCell ref="B7:E7"/>
    <mergeCell ref="B49:E49"/>
    <mergeCell ref="B50:E50"/>
    <mergeCell ref="C2:G2"/>
    <mergeCell ref="C3:G3"/>
    <mergeCell ref="C4:G4"/>
  </mergeCells>
  <phoneticPr fontId="19" type="noConversion"/>
  <hyperlinks>
    <hyperlink ref="B29" r:id="rId1" xr:uid="{BBDDB5AB-02DA-4219-91FF-0A6BA7847523}"/>
    <hyperlink ref="B30" r:id="rId2" xr:uid="{FF5CDD0B-CA0B-44B7-86B3-EE98CA529A9F}"/>
    <hyperlink ref="B31" r:id="rId3" xr:uid="{C7A3784B-1809-4142-A418-EB68A4B8E905}"/>
    <hyperlink ref="B32" r:id="rId4" xr:uid="{96264660-0F1F-44BA-A814-DCE9F317EA6E}"/>
    <hyperlink ref="B19" r:id="rId5" xr:uid="{5C9A2912-25E4-4043-B911-E6DAA632A3E5}"/>
    <hyperlink ref="B33" r:id="rId6" xr:uid="{21098855-512A-489D-93DE-7A09299A1E4E}"/>
    <hyperlink ref="B28" r:id="rId7" xr:uid="{203F45E8-6B53-4F98-BDF2-41BAC81E7C7A}"/>
    <hyperlink ref="B12" r:id="rId8" xr:uid="{836A67E1-35E4-4D60-97AA-FBCE571A83E3}"/>
    <hyperlink ref="B34" r:id="rId9" xr:uid="{4133EECA-8AB1-43BD-93A1-2E910C31846F}"/>
    <hyperlink ref="B27" r:id="rId10" xr:uid="{B7849F3A-17EC-4BB1-981F-2592C1BD544D}"/>
    <hyperlink ref="B26" r:id="rId11" xr:uid="{DF49AEEE-2E46-4FB9-B515-57EA16312CE6}"/>
    <hyperlink ref="B25" r:id="rId12" xr:uid="{D1CF66B5-DA07-4BC7-A615-15EA701967F6}"/>
    <hyperlink ref="B24" r:id="rId13" xr:uid="{5CAE635D-7F0F-4A6C-85AE-2619874CB9B6}"/>
    <hyperlink ref="B13" r:id="rId14" xr:uid="{88B5D776-A6FD-463A-A898-557D41CA9871}"/>
    <hyperlink ref="B23" r:id="rId15" xr:uid="{217BB919-5F14-4840-B76D-9931F1018615}"/>
    <hyperlink ref="B22" r:id="rId16" xr:uid="{6D97DDCA-C174-42B6-90B1-8B80D07AD997}"/>
    <hyperlink ref="B21" r:id="rId17" xr:uid="{FAAEF309-26CD-47AB-A650-0D8E8F253102}"/>
    <hyperlink ref="B20" r:id="rId18" xr:uid="{97D88196-1715-4400-AA00-7D4EDB8C7D0C}"/>
    <hyperlink ref="B17" r:id="rId19" xr:uid="{88D9348C-D564-4587-88D9-96D979350A04}"/>
    <hyperlink ref="B16" r:id="rId20" xr:uid="{A3268E3D-0CE9-4662-B00F-C885406BAF4D}"/>
    <hyperlink ref="B18" r:id="rId21" xr:uid="{60BBD405-8C2A-4171-90E4-D66DFDE730A5}"/>
    <hyperlink ref="B15" r:id="rId22" xr:uid="{38F6ED7D-480E-4C28-9BB9-871680063BF7}"/>
    <hyperlink ref="B14" r:id="rId23" xr:uid="{ACC6A3E7-6013-42CC-9205-E56BD5F6A554}"/>
    <hyperlink ref="B11" r:id="rId24" xr:uid="{FCB308F3-983E-434D-B13A-A823C9E77238}"/>
    <hyperlink ref="B61" r:id="rId25" xr:uid="{B57FAF3D-6D9A-4DFA-BBF8-D6D33998ADE9}"/>
    <hyperlink ref="B60" r:id="rId26" xr:uid="{5C9607EF-32AD-44B8-84CC-6718B136F5CC}"/>
    <hyperlink ref="B59" r:id="rId27" xr:uid="{81DA1AB9-82BB-4AA8-BD23-2883EA55C704}"/>
    <hyperlink ref="B58" r:id="rId28" xr:uid="{A5F12E87-A5BD-4F58-8096-10DB819A76B8}"/>
    <hyperlink ref="B57" r:id="rId29" xr:uid="{378B99D4-C2DB-4183-A2B8-460F177CD4E3}"/>
    <hyperlink ref="B56" r:id="rId30" xr:uid="{EEEEF7D9-F171-47B0-A044-4C66E3B4CC55}"/>
    <hyperlink ref="B55" r:id="rId31" xr:uid="{757C4291-837C-4D6D-9436-A2576A5DCC4E}"/>
    <hyperlink ref="B54" r:id="rId32" xr:uid="{8A99F214-3CA5-4130-AFBB-1E3CC49D561D}"/>
    <hyperlink ref="B63" r:id="rId33" xr:uid="{2EFDFB48-6104-44D3-84EB-EB5B5D7BA0CB}"/>
    <hyperlink ref="B62" r:id="rId34" xr:uid="{F1EA657E-C04A-4761-924F-9B7C741DD07C}"/>
  </hyperlinks>
  <pageMargins left="0.7" right="0.7" top="0.75" bottom="0.75" header="0.3" footer="0.3"/>
  <pageSetup scale="50" orientation="portrait" r:id="rId35"/>
  <headerFooter>
    <oddHeader>&amp;RIndianapolis Power and Light d/b/a AES Indiana
Cause No. 45843
Second Quarterly Report Work Paper 3
Page &amp;P of &amp;N</oddHeader>
  </headerFooter>
  <rowBreaks count="1" manualBreakCount="1">
    <brk id="87" max="16383" man="1"/>
  </rowBreaks>
  <colBreaks count="2" manualBreakCount="2">
    <brk id="2" max="92" man="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6" ma:contentTypeDescription="Create a new document." ma:contentTypeScope="" ma:versionID="74c5940f497891f254bc15682dd452d1">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fe85ad5fc585b86e243c3c53079c0e90"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db5066c-6899-482b-9ea0-5145f9da9989" xsi:nil="true"/>
    <_ip_UnifiedCompliancePolicyProperties xmlns="http://schemas.microsoft.com/sharepoint/v3" xsi:nil="true"/>
    <lcf76f155ced4ddcb4097134ff3c332f xmlns="f5536f26-5d7e-4d2b-a510-6667eeb1ad7c">
      <Terms xmlns="http://schemas.microsoft.com/office/infopath/2007/PartnerControls"/>
    </lcf76f155ced4ddcb4097134ff3c332f>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E236B4-E7C3-42AB-8803-A36F67FE87FC}"/>
</file>

<file path=customXml/itemProps2.xml><?xml version="1.0" encoding="utf-8"?>
<ds:datastoreItem xmlns:ds="http://schemas.openxmlformats.org/officeDocument/2006/customXml" ds:itemID="{DABA870B-B23D-43DB-9512-4C058A52DAB0}">
  <ds:schemaRefs>
    <ds:schemaRef ds:uri="http://schemas.microsoft.com/office/2006/metadata/properties"/>
    <ds:schemaRef ds:uri="http://schemas.microsoft.com/office/infopath/2007/PartnerControls"/>
    <ds:schemaRef ds:uri="http://schemas.microsoft.com/sharepoint/v3"/>
    <ds:schemaRef ds:uri="7558938a-8a22-4524-afb0-58b165029303"/>
    <ds:schemaRef ds:uri="ddb5066c-6899-482b-9ea0-5145f9da9989"/>
  </ds:schemaRefs>
</ds:datastoreItem>
</file>

<file path=customXml/itemProps3.xml><?xml version="1.0" encoding="utf-8"?>
<ds:datastoreItem xmlns:ds="http://schemas.openxmlformats.org/officeDocument/2006/customXml" ds:itemID="{213B2CAB-CB5C-4E5B-AD96-37B1DC4000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Rate Average Summary</vt:lpstr>
      <vt:lpstr>Rate Comparisons - Summary - V1</vt:lpstr>
      <vt:lpstr>Rate Comparisons - Summary - V2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 Elliot</dc:creator>
  <cp:keywords/>
  <dc:description/>
  <cp:lastModifiedBy>Bruce, Carla</cp:lastModifiedBy>
  <cp:revision/>
  <dcterms:created xsi:type="dcterms:W3CDTF">2022-11-11T15:30:06Z</dcterms:created>
  <dcterms:modified xsi:type="dcterms:W3CDTF">2024-07-31T17:30:05Z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0x01010017F62C1BAB7D1B4998D0BFFEC59B8AD2</vt:lpwstr>
  </property>
</Properties>
</file>