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mage1\FILINGS\"/>
    </mc:Choice>
  </mc:AlternateContent>
  <bookViews>
    <workbookView xWindow="-105" yWindow="-105" windowWidth="19410" windowHeight="10410"/>
  </bookViews>
  <sheets>
    <sheet name="Cover Page" sheetId="8" r:id="rId1"/>
    <sheet name="44808 RTO" sheetId="1" r:id="rId2"/>
    <sheet name="44808 RTO 1" sheetId="4" r:id="rId3"/>
    <sheet name="44808 RTO 2" sheetId="5" r:id="rId4"/>
    <sheet name="44808 RTO 3" sheetId="6" r:id="rId5"/>
    <sheet name="44808 RTO 4" sheetId="7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7" l="1"/>
  <c r="B22" i="7"/>
  <c r="C47" i="7"/>
  <c r="B47" i="7"/>
  <c r="D46" i="7" l="1"/>
  <c r="D45" i="7" l="1"/>
  <c r="D47" i="7" s="1"/>
  <c r="D21" i="7"/>
  <c r="D20" i="7"/>
  <c r="D22" i="7" s="1"/>
  <c r="E9" i="6" l="1"/>
  <c r="C43" i="7" l="1"/>
  <c r="C49" i="7" s="1"/>
  <c r="D42" i="7"/>
  <c r="G42" i="7" s="1"/>
  <c r="D41" i="7"/>
  <c r="G41" i="7" s="1"/>
  <c r="D40" i="7"/>
  <c r="D39" i="7"/>
  <c r="G39" i="7" s="1"/>
  <c r="B43" i="7"/>
  <c r="B49" i="7" s="1"/>
  <c r="D37" i="7"/>
  <c r="G37" i="7" s="1"/>
  <c r="D36" i="7"/>
  <c r="G36" i="7" s="1"/>
  <c r="D35" i="7"/>
  <c r="D34" i="7"/>
  <c r="G34" i="7" s="1"/>
  <c r="C18" i="7"/>
  <c r="C24" i="7" s="1"/>
  <c r="B18" i="7"/>
  <c r="B24" i="7" s="1"/>
  <c r="D17" i="7"/>
  <c r="G17" i="7" s="1"/>
  <c r="D16" i="7"/>
  <c r="D15" i="7"/>
  <c r="G15" i="7" s="1"/>
  <c r="D14" i="7"/>
  <c r="G14" i="7" s="1"/>
  <c r="D13" i="7"/>
  <c r="G13" i="7" s="1"/>
  <c r="D12" i="7"/>
  <c r="G12" i="7" s="1"/>
  <c r="D11" i="7"/>
  <c r="G11" i="7" s="1"/>
  <c r="D10" i="7"/>
  <c r="G10" i="7" s="1"/>
  <c r="D9" i="7"/>
  <c r="G9" i="7" s="1"/>
  <c r="G46" i="7" l="1"/>
  <c r="G21" i="7"/>
  <c r="G40" i="7"/>
  <c r="G16" i="7"/>
  <c r="G35" i="7"/>
  <c r="D38" i="7"/>
  <c r="D43" i="7" s="1"/>
  <c r="E37" i="7" s="1"/>
  <c r="D18" i="7"/>
  <c r="D24" i="7" s="1"/>
  <c r="G24" i="7" s="1"/>
  <c r="D49" i="6"/>
  <c r="D48" i="6"/>
  <c r="D49" i="7" l="1"/>
  <c r="G18" i="7"/>
  <c r="E41" i="7"/>
  <c r="E39" i="7"/>
  <c r="E34" i="7"/>
  <c r="G43" i="7"/>
  <c r="E36" i="7"/>
  <c r="E42" i="7"/>
  <c r="E40" i="7"/>
  <c r="G38" i="7"/>
  <c r="E38" i="7"/>
  <c r="E35" i="7"/>
  <c r="C50" i="6"/>
  <c r="B50" i="6"/>
  <c r="D50" i="6" s="1"/>
  <c r="C26" i="6"/>
  <c r="B26" i="6"/>
  <c r="E43" i="7" l="1"/>
  <c r="D26" i="6"/>
  <c r="D25" i="6"/>
  <c r="D24" i="6"/>
  <c r="L15" i="6" l="1"/>
  <c r="C15" i="6" s="1"/>
  <c r="L21" i="6"/>
  <c r="L20" i="6"/>
  <c r="L17" i="6"/>
  <c r="C17" i="6" s="1"/>
  <c r="L16" i="6"/>
  <c r="C16" i="6" s="1"/>
  <c r="L14" i="6"/>
  <c r="C14" i="6" s="1"/>
  <c r="L13" i="6"/>
  <c r="C13" i="6" s="1"/>
  <c r="L12" i="6"/>
  <c r="C12" i="6" s="1"/>
  <c r="L11" i="6"/>
  <c r="C11" i="6" s="1"/>
  <c r="L10" i="6"/>
  <c r="C10" i="6" s="1"/>
  <c r="L9" i="6"/>
  <c r="C9" i="6" s="1"/>
  <c r="D45" i="6"/>
  <c r="L18" i="6" l="1"/>
  <c r="P37" i="6" l="1"/>
  <c r="O36" i="6"/>
  <c r="O35" i="6"/>
  <c r="O37" i="6" s="1"/>
  <c r="P13" i="6"/>
  <c r="O12" i="6"/>
  <c r="O11" i="6"/>
  <c r="Q11" i="6" s="1"/>
  <c r="O13" i="6" l="1"/>
  <c r="Q12" i="6"/>
  <c r="Q13" i="6" s="1"/>
  <c r="C18" i="6"/>
  <c r="B39" i="6"/>
  <c r="C42" i="6" l="1"/>
  <c r="K42" i="6"/>
  <c r="K18" i="6"/>
  <c r="J42" i="6"/>
  <c r="J18" i="6"/>
  <c r="D44" i="6"/>
  <c r="G44" i="6" s="1"/>
  <c r="B42" i="6"/>
  <c r="D41" i="6"/>
  <c r="G41" i="6" s="1"/>
  <c r="D40" i="6"/>
  <c r="G40" i="6" s="1"/>
  <c r="D39" i="6"/>
  <c r="D38" i="6"/>
  <c r="G38" i="6" s="1"/>
  <c r="D37" i="6"/>
  <c r="D36" i="6"/>
  <c r="G36" i="6" s="1"/>
  <c r="D35" i="6"/>
  <c r="G35" i="6" s="1"/>
  <c r="D34" i="6"/>
  <c r="D33" i="6"/>
  <c r="G33" i="6" s="1"/>
  <c r="D21" i="6"/>
  <c r="D20" i="6"/>
  <c r="G20" i="6" s="1"/>
  <c r="B18" i="6"/>
  <c r="D17" i="6"/>
  <c r="D16" i="6"/>
  <c r="D15" i="6"/>
  <c r="D14" i="6"/>
  <c r="D13" i="6"/>
  <c r="D12" i="6"/>
  <c r="D11" i="6"/>
  <c r="D10" i="6"/>
  <c r="D9" i="6"/>
  <c r="G9" i="6" l="1"/>
  <c r="G12" i="6"/>
  <c r="G17" i="6"/>
  <c r="G11" i="6"/>
  <c r="G10" i="6"/>
  <c r="G13" i="6"/>
  <c r="G14" i="6"/>
  <c r="G15" i="6"/>
  <c r="G16" i="6"/>
  <c r="G39" i="6"/>
  <c r="G37" i="6"/>
  <c r="D18" i="6"/>
  <c r="E10" i="6" s="1"/>
  <c r="G34" i="6"/>
  <c r="D42" i="6"/>
  <c r="E34" i="6" s="1"/>
  <c r="B35" i="5"/>
  <c r="B33" i="5"/>
  <c r="E11" i="6" l="1"/>
  <c r="E15" i="6"/>
  <c r="E14" i="6"/>
  <c r="E12" i="6"/>
  <c r="E13" i="6"/>
  <c r="E17" i="6"/>
  <c r="E16" i="6"/>
  <c r="E36" i="6"/>
  <c r="E37" i="6"/>
  <c r="E38" i="6"/>
  <c r="E33" i="6"/>
  <c r="G42" i="6"/>
  <c r="E41" i="6"/>
  <c r="E35" i="6"/>
  <c r="E40" i="6"/>
  <c r="G18" i="6"/>
  <c r="E39" i="6"/>
  <c r="D21" i="5"/>
  <c r="D20" i="5"/>
  <c r="G20" i="5" s="1"/>
  <c r="D40" i="5"/>
  <c r="G40" i="5" s="1"/>
  <c r="E18" i="6" l="1"/>
  <c r="E42" i="6"/>
  <c r="C38" i="5"/>
  <c r="D37" i="5"/>
  <c r="G37" i="5" s="1"/>
  <c r="D36" i="5"/>
  <c r="G36" i="5" s="1"/>
  <c r="D35" i="5"/>
  <c r="G35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C18" i="5"/>
  <c r="D17" i="5"/>
  <c r="G17" i="5" s="1"/>
  <c r="D16" i="5"/>
  <c r="G16" i="5" s="1"/>
  <c r="D15" i="5"/>
  <c r="G15" i="5" s="1"/>
  <c r="D14" i="5"/>
  <c r="G14" i="5" s="1"/>
  <c r="D13" i="5"/>
  <c r="G13" i="5" s="1"/>
  <c r="D12" i="5"/>
  <c r="G12" i="5" s="1"/>
  <c r="D11" i="5"/>
  <c r="G11" i="5" s="1"/>
  <c r="D10" i="5"/>
  <c r="G10" i="5" s="1"/>
  <c r="D9" i="5"/>
  <c r="G9" i="5" s="1"/>
  <c r="D38" i="5" l="1"/>
  <c r="E33" i="5" s="1"/>
  <c r="D18" i="5"/>
  <c r="B38" i="5"/>
  <c r="B18" i="5"/>
  <c r="B15" i="4"/>
  <c r="B16" i="4"/>
  <c r="E31" i="5" l="1"/>
  <c r="G38" i="5"/>
  <c r="E9" i="5"/>
  <c r="G18" i="5"/>
  <c r="E36" i="5"/>
  <c r="E29" i="5"/>
  <c r="E34" i="5"/>
  <c r="E37" i="5"/>
  <c r="E32" i="5"/>
  <c r="E30" i="5"/>
  <c r="E14" i="5"/>
  <c r="E17" i="5"/>
  <c r="E16" i="5"/>
  <c r="E15" i="5"/>
  <c r="E10" i="5"/>
  <c r="E13" i="5"/>
  <c r="E12" i="5"/>
  <c r="E11" i="5"/>
  <c r="E35" i="5"/>
  <c r="B35" i="4"/>
  <c r="B33" i="4" l="1"/>
  <c r="C18" i="4" l="1"/>
  <c r="D17" i="4"/>
  <c r="D16" i="4"/>
  <c r="D15" i="4"/>
  <c r="D14" i="4"/>
  <c r="D13" i="4"/>
  <c r="D12" i="4"/>
  <c r="D11" i="4"/>
  <c r="D10" i="4"/>
  <c r="D9" i="4"/>
  <c r="B18" i="4"/>
  <c r="B38" i="4"/>
  <c r="C38" i="4"/>
  <c r="D37" i="4"/>
  <c r="D36" i="4"/>
  <c r="D35" i="4"/>
  <c r="D34" i="4"/>
  <c r="D33" i="4"/>
  <c r="D32" i="4"/>
  <c r="D31" i="4"/>
  <c r="D30" i="4"/>
  <c r="D29" i="4"/>
  <c r="D38" i="4" l="1"/>
  <c r="E29" i="4" s="1"/>
  <c r="D18" i="4"/>
  <c r="E30" i="4" l="1"/>
  <c r="E35" i="4"/>
  <c r="E36" i="4"/>
  <c r="E37" i="4"/>
  <c r="E31" i="4"/>
  <c r="E32" i="4"/>
  <c r="E33" i="4"/>
  <c r="E34" i="4"/>
  <c r="E15" i="4"/>
  <c r="E11" i="4"/>
  <c r="E16" i="4"/>
  <c r="E14" i="4"/>
  <c r="E10" i="4"/>
  <c r="E17" i="4"/>
  <c r="E13" i="4"/>
  <c r="E12" i="4"/>
  <c r="E9" i="4"/>
</calcChain>
</file>

<file path=xl/sharedStrings.xml><?xml version="1.0" encoding="utf-8"?>
<sst xmlns="http://schemas.openxmlformats.org/spreadsheetml/2006/main" count="225" uniqueCount="75">
  <si>
    <t>Account Description</t>
  </si>
  <si>
    <t>Actual</t>
  </si>
  <si>
    <t>In Rates</t>
  </si>
  <si>
    <t>Difference</t>
  </si>
  <si>
    <t>Def Cost MISO Net Billings (Schedule 10)</t>
  </si>
  <si>
    <t>MISO Mrkt Admin Fees (Schedule 17)</t>
  </si>
  <si>
    <t>FTR Market Admin Fees Retail (Schedule 16)</t>
  </si>
  <si>
    <t>MISO Socialized and Uplift Costs</t>
  </si>
  <si>
    <t>MISO BA Costs &amp; Credits (Schedule 24)</t>
  </si>
  <si>
    <t>MISO RSG Over Benchmark</t>
  </si>
  <si>
    <t>MISO Transmission Expansion (Schedule 26 and 26A)</t>
  </si>
  <si>
    <t xml:space="preserve">MISO Transmission Expense (Schedule 2 &amp;11) </t>
  </si>
  <si>
    <t>MISO FERC Fees</t>
  </si>
  <si>
    <t>Total MISO NFC Actual - Apr 16</t>
  </si>
  <si>
    <t>Forecast</t>
  </si>
  <si>
    <t>Total MISO NFC Forecasted - Oct 16 to Sep 17</t>
  </si>
  <si>
    <t>Total MISO NFC Actual - May 16 to Apr 17</t>
  </si>
  <si>
    <t>Actual vs in Rates</t>
  </si>
  <si>
    <t>Forecast vs in Rates</t>
  </si>
  <si>
    <t>557450 MISO Socialized and Uplift Costs</t>
  </si>
  <si>
    <t>565150 Def Cost MISO Net Billings (Sch 10)</t>
  </si>
  <si>
    <t>575200 MISO Mrkt Admin Fees (Sch 17)</t>
  </si>
  <si>
    <t>575300 FTR Market Admin Fees Retail (Sch 16)</t>
  </si>
  <si>
    <t>561220 MISO BA Costs &amp; Credits (Sch 24)</t>
  </si>
  <si>
    <t>557451 MISO RSG Over Benchmark</t>
  </si>
  <si>
    <t xml:space="preserve">565100 MISO Transmission Expense (Sch 2 &amp;11) </t>
  </si>
  <si>
    <t>928100 MISO FERC Fees</t>
  </si>
  <si>
    <t>566200 MISO Transmission Expansion (Sch 26 &amp; 26-A)</t>
  </si>
  <si>
    <t>456200 MISO Transmission Revenues (w/URT)</t>
  </si>
  <si>
    <t>456200 MISO Transmission Revenues (w/o URT)</t>
  </si>
  <si>
    <t>May 2017 - Apr 2018</t>
  </si>
  <si>
    <t>Oct 2018 - Sep 2019</t>
  </si>
  <si>
    <t>Diff / In Rates</t>
  </si>
  <si>
    <t>% of Diff</t>
  </si>
  <si>
    <t>Pro-rated</t>
  </si>
  <si>
    <t>Prorated</t>
  </si>
  <si>
    <t>May 18 - Apr 19</t>
  </si>
  <si>
    <t>Oct 19 - Sep 20</t>
  </si>
  <si>
    <t>Total MISO NFC Actual - May 18 to Apr 19</t>
  </si>
  <si>
    <t>Total MISO NFC Actual - Oct 2019 to Sep 2020</t>
  </si>
  <si>
    <t>Total MISO NFC Actual - Oct 17 to Sep 18</t>
  </si>
  <si>
    <t>Total MISO NFC Actual - Oct 18 to Sep 19</t>
  </si>
  <si>
    <t>Total MISO NFC Actual - May 17 to Apr 18</t>
  </si>
  <si>
    <t>% of Total</t>
  </si>
  <si>
    <t>Charges</t>
  </si>
  <si>
    <t>Credits</t>
  </si>
  <si>
    <t>561220 MISO BA Costs (Sch 24)</t>
  </si>
  <si>
    <t>561220 MISO BA Credits (Sch 24)</t>
  </si>
  <si>
    <t xml:space="preserve"> includes Sch 24</t>
  </si>
  <si>
    <t>Indianapolis Power &amp; Light Company</t>
  </si>
  <si>
    <t>RTO 3</t>
  </si>
  <si>
    <t>RTO 2</t>
  </si>
  <si>
    <t>RTO 1</t>
  </si>
  <si>
    <t>RTO</t>
  </si>
  <si>
    <t>RTO 4</t>
  </si>
  <si>
    <t>May 2019 - Apr 2020</t>
  </si>
  <si>
    <t>Oct 2020 - Sep 2021</t>
  </si>
  <si>
    <t>Def Cost MISO Net Billings (Sch 10)</t>
  </si>
  <si>
    <t>MISO Mrkt Admin Fees (Sch 17)</t>
  </si>
  <si>
    <t>FTR Market Admin Fees Retail (Sch 16)</t>
  </si>
  <si>
    <t>MISO BA Costs (Sch 24)</t>
  </si>
  <si>
    <t>MISO Transmission Expansion (Sch 26 &amp; 26-A)</t>
  </si>
  <si>
    <t xml:space="preserve">MISO Transmission Expense (Sch 2 &amp;11) </t>
  </si>
  <si>
    <t>MISO BA Credits (Sch 24) w/o URT</t>
  </si>
  <si>
    <t>MISO Transmission Revenues (w/o URT)</t>
  </si>
  <si>
    <t>MISO BA Costs &amp; Credits (Sch 24)*</t>
  </si>
  <si>
    <t>*IPL is now recording the Schedule 24 credits as jurisdictional revenues instead of as a negative expense.</t>
  </si>
  <si>
    <t>Total MISO NFC Actual - May 2019 to Apr 2020</t>
  </si>
  <si>
    <t>NFC net of Revenue Forecast - Oct 2020 to Sep 2021</t>
  </si>
  <si>
    <t>Total MISO NFC Forecast - Oct 2020 to Sep 2021</t>
  </si>
  <si>
    <t>Total MISO Revenues Forecast Oct 2020 - Sep 2021</t>
  </si>
  <si>
    <t>Total MISO Revenues Actual - May 2019 to Apr 2020</t>
  </si>
  <si>
    <t>NFC net of Revenue Actual - May 2019 to Apr 2020</t>
  </si>
  <si>
    <t>Cause No. 44808 RTO 4</t>
  </si>
  <si>
    <t>Workpaper Tables For Testimony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</si>
</sst>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6" fontId="1" fillId="0" borderId="4" xfId="0" applyNumberFormat="1" applyFont="1" applyBorder="1" applyAlignment="1">
      <alignment horizontal="right" vertical="center"/>
    </xf>
    <xf numFmtId="37" fontId="4" fillId="0" borderId="0" xfId="0" applyNumberFormat="1" applyFont="1"/>
    <xf numFmtId="37" fontId="3" fillId="0" borderId="2" xfId="0" applyNumberFormat="1" applyFont="1" applyBorder="1" applyAlignment="1">
      <alignment horizontal="center" vertical="center"/>
    </xf>
    <xf numFmtId="164" fontId="0" fillId="0" borderId="0" xfId="1" applyNumberFormat="1" applyFont="1"/>
    <xf numFmtId="5" fontId="3" fillId="0" borderId="4" xfId="2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5" fontId="3" fillId="0" borderId="2" xfId="2" applyNumberFormat="1" applyFont="1" applyBorder="1" applyAlignment="1">
      <alignment horizontal="right" vertical="center"/>
    </xf>
    <xf numFmtId="5" fontId="3" fillId="0" borderId="1" xfId="2" applyNumberFormat="1" applyFont="1" applyBorder="1" applyAlignment="1">
      <alignment horizontal="right" vertical="center"/>
    </xf>
    <xf numFmtId="5" fontId="3" fillId="0" borderId="4" xfId="2" applyNumberFormat="1" applyFont="1" applyFill="1" applyBorder="1" applyAlignment="1">
      <alignment horizontal="right" vertical="center"/>
    </xf>
    <xf numFmtId="37" fontId="4" fillId="0" borderId="0" xfId="0" applyNumberFormat="1" applyFont="1" applyFill="1"/>
    <xf numFmtId="5" fontId="3" fillId="0" borderId="2" xfId="2" applyNumberFormat="1" applyFont="1" applyFill="1" applyBorder="1" applyAlignment="1">
      <alignment horizontal="right" vertical="center"/>
    </xf>
    <xf numFmtId="37" fontId="3" fillId="0" borderId="1" xfId="0" applyNumberFormat="1" applyFont="1" applyBorder="1" applyAlignment="1">
      <alignment horizontal="center" vertical="center"/>
    </xf>
    <xf numFmtId="5" fontId="3" fillId="0" borderId="3" xfId="2" applyNumberFormat="1" applyFont="1" applyBorder="1" applyAlignment="1">
      <alignment horizontal="right" vertical="center"/>
    </xf>
    <xf numFmtId="37" fontId="3" fillId="0" borderId="5" xfId="0" applyNumberFormat="1" applyFont="1" applyBorder="1" applyAlignment="1">
      <alignment horizontal="center" vertical="center"/>
    </xf>
    <xf numFmtId="5" fontId="3" fillId="0" borderId="6" xfId="2" applyNumberFormat="1" applyFont="1" applyBorder="1" applyAlignment="1">
      <alignment horizontal="right" vertical="center"/>
    </xf>
    <xf numFmtId="37" fontId="3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right" vertical="center"/>
    </xf>
    <xf numFmtId="5" fontId="1" fillId="0" borderId="0" xfId="0" applyNumberFormat="1" applyFont="1"/>
    <xf numFmtId="0" fontId="1" fillId="0" borderId="0" xfId="0" applyFont="1"/>
    <xf numFmtId="165" fontId="1" fillId="0" borderId="0" xfId="2" applyNumberFormat="1" applyFont="1"/>
    <xf numFmtId="165" fontId="1" fillId="0" borderId="7" xfId="2" applyNumberFormat="1" applyFont="1" applyBorder="1"/>
    <xf numFmtId="0" fontId="1" fillId="0" borderId="0" xfId="0" applyFont="1" applyAlignment="1">
      <alignment horizontal="right"/>
    </xf>
    <xf numFmtId="37" fontId="3" fillId="0" borderId="0" xfId="0" applyNumberFormat="1" applyFont="1"/>
    <xf numFmtId="164" fontId="1" fillId="0" borderId="0" xfId="1" applyNumberFormat="1" applyFont="1"/>
    <xf numFmtId="37" fontId="3" fillId="0" borderId="0" xfId="0" applyNumberFormat="1" applyFont="1" applyFill="1"/>
    <xf numFmtId="0" fontId="3" fillId="0" borderId="0" xfId="0" applyNumberFormat="1" applyFont="1"/>
    <xf numFmtId="0" fontId="1" fillId="0" borderId="6" xfId="0" applyFont="1" applyBorder="1"/>
    <xf numFmtId="164" fontId="3" fillId="0" borderId="4" xfId="1" applyNumberFormat="1" applyFont="1" applyBorder="1" applyAlignment="1">
      <alignment horizontal="right" vertical="center"/>
    </xf>
    <xf numFmtId="164" fontId="4" fillId="0" borderId="0" xfId="1" applyNumberFormat="1" applyFont="1"/>
    <xf numFmtId="9" fontId="3" fillId="0" borderId="4" xfId="1" applyFont="1" applyBorder="1" applyAlignment="1">
      <alignment horizontal="right" vertical="center"/>
    </xf>
    <xf numFmtId="9" fontId="3" fillId="0" borderId="2" xfId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5" fontId="3" fillId="0" borderId="0" xfId="2" applyNumberFormat="1" applyFont="1" applyBorder="1" applyAlignment="1">
      <alignment horizontal="right" vertical="center"/>
    </xf>
    <xf numFmtId="9" fontId="3" fillId="0" borderId="0" xfId="1" applyFont="1" applyBorder="1" applyAlignment="1">
      <alignment horizontal="right" vertical="center"/>
    </xf>
    <xf numFmtId="5" fontId="3" fillId="0" borderId="0" xfId="2" applyNumberFormat="1" applyFont="1" applyFill="1" applyBorder="1" applyAlignment="1">
      <alignment horizontal="right" vertical="center"/>
    </xf>
    <xf numFmtId="164" fontId="3" fillId="0" borderId="0" xfId="1" applyNumberFormat="1" applyFont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5</xdr:row>
      <xdr:rowOff>161925</xdr:rowOff>
    </xdr:from>
    <xdr:to>
      <xdr:col>6</xdr:col>
      <xdr:colOff>114635</xdr:colOff>
      <xdr:row>11</xdr:row>
      <xdr:rowOff>181137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1114425"/>
          <a:ext cx="2400635" cy="1162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tabSelected="1" workbookViewId="0"/>
  </sheetViews>
  <sheetFormatPr defaultRowHeight="15" x14ac:dyDescent="0.25"/>
  <sheetData>
    <row r="3" spans="2:2" x14ac:dyDescent="0.25">
      <c r="B3" t="s">
        <v>49</v>
      </c>
    </row>
    <row r="4" spans="2:2" x14ac:dyDescent="0.25">
      <c r="B4" t="s">
        <v>73</v>
      </c>
    </row>
    <row r="5" spans="2:2" x14ac:dyDescent="0.25">
      <c r="B5" t="s">
        <v>74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A3" sqref="A3"/>
    </sheetView>
  </sheetViews>
  <sheetFormatPr defaultRowHeight="15" x14ac:dyDescent="0.25"/>
  <cols>
    <col min="1" max="1" width="50" bestFit="1" customWidth="1"/>
    <col min="2" max="4" width="13.28515625" bestFit="1" customWidth="1"/>
  </cols>
  <sheetData>
    <row r="1" spans="1:4" ht="15.75" x14ac:dyDescent="0.25">
      <c r="A1" s="22" t="s">
        <v>49</v>
      </c>
    </row>
    <row r="2" spans="1:4" ht="15.75" x14ac:dyDescent="0.25">
      <c r="A2" s="22" t="s">
        <v>53</v>
      </c>
    </row>
    <row r="5" spans="1:4" ht="15.75" thickBot="1" x14ac:dyDescent="0.3"/>
    <row r="6" spans="1:4" ht="16.5" thickBot="1" x14ac:dyDescent="0.3">
      <c r="A6" s="1" t="s">
        <v>0</v>
      </c>
      <c r="B6" s="2" t="s">
        <v>1</v>
      </c>
      <c r="C6" s="2" t="s">
        <v>2</v>
      </c>
      <c r="D6" s="2" t="s">
        <v>3</v>
      </c>
    </row>
    <row r="7" spans="1:4" ht="16.5" thickBot="1" x14ac:dyDescent="0.3">
      <c r="A7" s="3" t="s">
        <v>4</v>
      </c>
      <c r="B7" s="4">
        <v>212022</v>
      </c>
      <c r="C7" s="4">
        <v>197083</v>
      </c>
      <c r="D7" s="4">
        <v>14939</v>
      </c>
    </row>
    <row r="8" spans="1:4" ht="16.5" thickBot="1" x14ac:dyDescent="0.3">
      <c r="A8" s="3" t="s">
        <v>5</v>
      </c>
      <c r="B8" s="4">
        <v>149028</v>
      </c>
      <c r="C8" s="4">
        <v>204250</v>
      </c>
      <c r="D8" s="4">
        <v>-55222</v>
      </c>
    </row>
    <row r="9" spans="1:4" ht="16.5" thickBot="1" x14ac:dyDescent="0.3">
      <c r="A9" s="3" t="s">
        <v>6</v>
      </c>
      <c r="B9" s="4">
        <v>1631</v>
      </c>
      <c r="C9" s="4">
        <v>6333</v>
      </c>
      <c r="D9" s="4">
        <v>-4702</v>
      </c>
    </row>
    <row r="10" spans="1:4" ht="16.5" thickBot="1" x14ac:dyDescent="0.3">
      <c r="A10" s="3" t="s">
        <v>7</v>
      </c>
      <c r="B10" s="4">
        <v>163497</v>
      </c>
      <c r="C10" s="4">
        <v>297167</v>
      </c>
      <c r="D10" s="4">
        <v>-133669</v>
      </c>
    </row>
    <row r="11" spans="1:4" ht="16.5" thickBot="1" x14ac:dyDescent="0.3">
      <c r="A11" s="3" t="s">
        <v>8</v>
      </c>
      <c r="B11" s="4">
        <v>-33582</v>
      </c>
      <c r="C11" s="4">
        <v>-42083</v>
      </c>
      <c r="D11" s="4">
        <v>8502</v>
      </c>
    </row>
    <row r="12" spans="1:4" ht="16.5" thickBot="1" x14ac:dyDescent="0.3">
      <c r="A12" s="3" t="s">
        <v>9</v>
      </c>
      <c r="B12" s="4">
        <v>777</v>
      </c>
      <c r="C12" s="4">
        <v>15250</v>
      </c>
      <c r="D12" s="4">
        <v>-14473</v>
      </c>
    </row>
    <row r="13" spans="1:4" ht="16.5" thickBot="1" x14ac:dyDescent="0.3">
      <c r="A13" s="3" t="s">
        <v>10</v>
      </c>
      <c r="B13" s="4">
        <v>1101861</v>
      </c>
      <c r="C13" s="4">
        <v>564083</v>
      </c>
      <c r="D13" s="4">
        <v>537778</v>
      </c>
    </row>
    <row r="14" spans="1:4" ht="16.5" thickBot="1" x14ac:dyDescent="0.3">
      <c r="A14" s="3" t="s">
        <v>11</v>
      </c>
      <c r="B14" s="4">
        <v>250563</v>
      </c>
      <c r="C14" s="4">
        <v>292833</v>
      </c>
      <c r="D14" s="4">
        <v>-42270</v>
      </c>
    </row>
    <row r="15" spans="1:4" ht="16.5" thickBot="1" x14ac:dyDescent="0.3">
      <c r="A15" s="3" t="s">
        <v>12</v>
      </c>
      <c r="B15" s="4">
        <v>61988</v>
      </c>
      <c r="C15" s="4">
        <v>78250</v>
      </c>
      <c r="D15" s="4">
        <v>-16262</v>
      </c>
    </row>
    <row r="16" spans="1:4" ht="16.5" thickBot="1" x14ac:dyDescent="0.3">
      <c r="A16" s="3" t="s">
        <v>13</v>
      </c>
      <c r="B16" s="4">
        <v>1907786</v>
      </c>
      <c r="C16" s="4">
        <v>1613167</v>
      </c>
      <c r="D16" s="4">
        <v>294620</v>
      </c>
    </row>
    <row r="19" spans="1:4" ht="15.75" thickBot="1" x14ac:dyDescent="0.3"/>
    <row r="20" spans="1:4" ht="16.5" thickBot="1" x14ac:dyDescent="0.3">
      <c r="A20" s="1" t="s">
        <v>0</v>
      </c>
      <c r="B20" s="2" t="s">
        <v>14</v>
      </c>
      <c r="C20" s="2" t="s">
        <v>2</v>
      </c>
      <c r="D20" s="2" t="s">
        <v>3</v>
      </c>
    </row>
    <row r="21" spans="1:4" ht="16.5" thickBot="1" x14ac:dyDescent="0.3">
      <c r="A21" s="3" t="s">
        <v>4</v>
      </c>
      <c r="B21" s="4">
        <v>2468499</v>
      </c>
      <c r="C21" s="4">
        <v>2365000</v>
      </c>
      <c r="D21" s="4">
        <v>103499</v>
      </c>
    </row>
    <row r="22" spans="1:4" ht="16.5" thickBot="1" x14ac:dyDescent="0.3">
      <c r="A22" s="3" t="s">
        <v>5</v>
      </c>
      <c r="B22" s="4">
        <v>2635415</v>
      </c>
      <c r="C22" s="4">
        <v>2451000</v>
      </c>
      <c r="D22" s="4">
        <v>184415</v>
      </c>
    </row>
    <row r="23" spans="1:4" ht="16.5" thickBot="1" x14ac:dyDescent="0.3">
      <c r="A23" s="3" t="s">
        <v>6</v>
      </c>
      <c r="B23" s="4">
        <v>81508</v>
      </c>
      <c r="C23" s="4">
        <v>76000</v>
      </c>
      <c r="D23" s="4">
        <v>5508</v>
      </c>
    </row>
    <row r="24" spans="1:4" ht="16.5" thickBot="1" x14ac:dyDescent="0.3">
      <c r="A24" s="3" t="s">
        <v>7</v>
      </c>
      <c r="B24" s="4">
        <v>3883068</v>
      </c>
      <c r="C24" s="4">
        <v>3566000</v>
      </c>
      <c r="D24" s="4">
        <v>317068</v>
      </c>
    </row>
    <row r="25" spans="1:4" ht="16.5" thickBot="1" x14ac:dyDescent="0.3">
      <c r="A25" s="3" t="s">
        <v>8</v>
      </c>
      <c r="B25" s="4">
        <v>-487639</v>
      </c>
      <c r="C25" s="4">
        <v>-505000</v>
      </c>
      <c r="D25" s="4">
        <v>17361</v>
      </c>
    </row>
    <row r="26" spans="1:4" ht="16.5" thickBot="1" x14ac:dyDescent="0.3">
      <c r="A26" s="3" t="s">
        <v>9</v>
      </c>
      <c r="B26" s="4">
        <v>122109</v>
      </c>
      <c r="C26" s="4">
        <v>183000</v>
      </c>
      <c r="D26" s="4">
        <v>-60891</v>
      </c>
    </row>
    <row r="27" spans="1:4" ht="16.5" thickBot="1" x14ac:dyDescent="0.3">
      <c r="A27" s="3" t="s">
        <v>10</v>
      </c>
      <c r="B27" s="4">
        <v>21306906</v>
      </c>
      <c r="C27" s="4">
        <v>6769000</v>
      </c>
      <c r="D27" s="4">
        <v>14537906</v>
      </c>
    </row>
    <row r="28" spans="1:4" ht="16.5" thickBot="1" x14ac:dyDescent="0.3">
      <c r="A28" s="3" t="s">
        <v>11</v>
      </c>
      <c r="B28" s="4">
        <v>3574997</v>
      </c>
      <c r="C28" s="4">
        <v>3514000</v>
      </c>
      <c r="D28" s="4">
        <v>60997</v>
      </c>
    </row>
    <row r="29" spans="1:4" ht="16.5" thickBot="1" x14ac:dyDescent="0.3">
      <c r="A29" s="3" t="s">
        <v>12</v>
      </c>
      <c r="B29" s="4">
        <v>1089895</v>
      </c>
      <c r="C29" s="4">
        <v>939000</v>
      </c>
      <c r="D29" s="4">
        <v>150895</v>
      </c>
    </row>
    <row r="30" spans="1:4" ht="16.5" thickBot="1" x14ac:dyDescent="0.3">
      <c r="A30" s="3" t="s">
        <v>15</v>
      </c>
      <c r="B30" s="4">
        <v>34674758</v>
      </c>
      <c r="C30" s="4">
        <v>19358000</v>
      </c>
      <c r="D30" s="4">
        <v>15316758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zoomScaleNormal="100" workbookViewId="0">
      <selection activeCell="A3" sqref="A3"/>
    </sheetView>
  </sheetViews>
  <sheetFormatPr defaultRowHeight="15" x14ac:dyDescent="0.25"/>
  <cols>
    <col min="1" max="1" width="52.42578125" bestFit="1" customWidth="1"/>
    <col min="2" max="4" width="16.7109375" bestFit="1" customWidth="1"/>
  </cols>
  <sheetData>
    <row r="1" spans="1:5" ht="15.75" x14ac:dyDescent="0.25">
      <c r="A1" s="22" t="s">
        <v>49</v>
      </c>
    </row>
    <row r="2" spans="1:5" ht="15.75" x14ac:dyDescent="0.25">
      <c r="A2" s="22" t="s">
        <v>52</v>
      </c>
    </row>
    <row r="4" spans="1:5" x14ac:dyDescent="0.25">
      <c r="A4" t="s">
        <v>17</v>
      </c>
    </row>
    <row r="7" spans="1:5" ht="15.75" thickBot="1" x14ac:dyDescent="0.3">
      <c r="B7" s="5"/>
      <c r="C7" s="5"/>
      <c r="D7" s="5"/>
    </row>
    <row r="8" spans="1:5" ht="16.5" thickBot="1" x14ac:dyDescent="0.3">
      <c r="A8" s="1" t="s">
        <v>0</v>
      </c>
      <c r="B8" s="6" t="s">
        <v>1</v>
      </c>
      <c r="C8" s="6" t="s">
        <v>2</v>
      </c>
      <c r="D8" s="6" t="s">
        <v>3</v>
      </c>
    </row>
    <row r="9" spans="1:5" ht="16.5" thickBot="1" x14ac:dyDescent="0.3">
      <c r="A9" s="3" t="s">
        <v>20</v>
      </c>
      <c r="B9" s="8">
        <v>2721267</v>
      </c>
      <c r="C9" s="8">
        <v>2365000</v>
      </c>
      <c r="D9" s="8">
        <f t="shared" ref="D9:D17" si="0">+B9-C9</f>
        <v>356267</v>
      </c>
      <c r="E9" s="7">
        <f>+D9/D18</f>
        <v>3.5998772513063271E-2</v>
      </c>
    </row>
    <row r="10" spans="1:5" ht="16.5" thickBot="1" x14ac:dyDescent="0.3">
      <c r="A10" s="3" t="s">
        <v>21</v>
      </c>
      <c r="B10" s="8">
        <v>2058855</v>
      </c>
      <c r="C10" s="8">
        <v>2451000</v>
      </c>
      <c r="D10" s="8">
        <f t="shared" si="0"/>
        <v>-392145</v>
      </c>
      <c r="E10" s="7">
        <f>+D10/D18</f>
        <v>-3.9624042213101958E-2</v>
      </c>
    </row>
    <row r="11" spans="1:5" ht="16.5" thickBot="1" x14ac:dyDescent="0.3">
      <c r="A11" s="3" t="s">
        <v>22</v>
      </c>
      <c r="B11" s="8">
        <v>54847</v>
      </c>
      <c r="C11" s="8">
        <v>76000</v>
      </c>
      <c r="D11" s="8">
        <f t="shared" si="0"/>
        <v>-21153</v>
      </c>
      <c r="E11" s="7">
        <f>+D11/D18</f>
        <v>-2.1373914366720108E-3</v>
      </c>
    </row>
    <row r="12" spans="1:5" ht="16.5" thickBot="1" x14ac:dyDescent="0.3">
      <c r="A12" s="3" t="s">
        <v>19</v>
      </c>
      <c r="B12" s="8">
        <v>2643222</v>
      </c>
      <c r="C12" s="8">
        <v>3566000</v>
      </c>
      <c r="D12" s="8">
        <f t="shared" si="0"/>
        <v>-922778</v>
      </c>
      <c r="E12" s="7">
        <f>+D12/D18</f>
        <v>-9.3241516340439881E-2</v>
      </c>
    </row>
    <row r="13" spans="1:5" ht="16.5" thickBot="1" x14ac:dyDescent="0.3">
      <c r="A13" s="3" t="s">
        <v>23</v>
      </c>
      <c r="B13" s="8">
        <v>-104594</v>
      </c>
      <c r="C13" s="8">
        <v>-505000</v>
      </c>
      <c r="D13" s="8">
        <f t="shared" si="0"/>
        <v>400406</v>
      </c>
      <c r="E13" s="7">
        <f>+D13/D18</f>
        <v>4.0458769706050828E-2</v>
      </c>
    </row>
    <row r="14" spans="1:5" ht="16.5" thickBot="1" x14ac:dyDescent="0.3">
      <c r="A14" s="3" t="s">
        <v>24</v>
      </c>
      <c r="B14" s="8">
        <v>82304</v>
      </c>
      <c r="C14" s="8">
        <v>183000</v>
      </c>
      <c r="D14" s="8">
        <f t="shared" si="0"/>
        <v>-100696</v>
      </c>
      <c r="E14" s="7">
        <f>+D14/D18</f>
        <v>-1.0174763301050669E-2</v>
      </c>
    </row>
    <row r="15" spans="1:5" ht="16.5" thickBot="1" x14ac:dyDescent="0.3">
      <c r="A15" s="3" t="s">
        <v>27</v>
      </c>
      <c r="B15" s="8">
        <f>17518937-18089-972-1</f>
        <v>17499875</v>
      </c>
      <c r="C15" s="8">
        <v>6769000</v>
      </c>
      <c r="D15" s="8">
        <f t="shared" si="0"/>
        <v>10730875</v>
      </c>
      <c r="E15" s="7">
        <f>+D15/D18</f>
        <v>1.0842944420648497</v>
      </c>
    </row>
    <row r="16" spans="1:5" ht="16.5" thickBot="1" x14ac:dyDescent="0.3">
      <c r="A16" s="3" t="s">
        <v>25</v>
      </c>
      <c r="B16" s="8">
        <f>3393136+4+5</f>
        <v>3393145</v>
      </c>
      <c r="C16" s="8">
        <v>3514000</v>
      </c>
      <c r="D16" s="8">
        <f t="shared" si="0"/>
        <v>-120855</v>
      </c>
      <c r="E16" s="7">
        <f>+D16/D18</f>
        <v>-1.2211716639672665E-2</v>
      </c>
    </row>
    <row r="17" spans="1:5" ht="16.5" thickBot="1" x14ac:dyDescent="0.3">
      <c r="A17" s="3" t="s">
        <v>26</v>
      </c>
      <c r="B17" s="8">
        <v>905722</v>
      </c>
      <c r="C17" s="8">
        <v>939000</v>
      </c>
      <c r="D17" s="8">
        <f t="shared" si="0"/>
        <v>-33278</v>
      </c>
      <c r="E17" s="7">
        <f>+D17/D18</f>
        <v>-3.362554353026577E-3</v>
      </c>
    </row>
    <row r="18" spans="1:5" ht="16.5" thickBot="1" x14ac:dyDescent="0.3">
      <c r="A18" s="3" t="s">
        <v>16</v>
      </c>
      <c r="B18" s="8">
        <f>SUM(B9:B17)</f>
        <v>29254643</v>
      </c>
      <c r="C18" s="8">
        <f>SUM(C9:C17)</f>
        <v>19358000</v>
      </c>
      <c r="D18" s="8">
        <f>SUM(D9:D17)</f>
        <v>9896643</v>
      </c>
    </row>
    <row r="19" spans="1:5" x14ac:dyDescent="0.25">
      <c r="B19" s="5"/>
      <c r="C19" s="5"/>
      <c r="D19" s="5"/>
    </row>
    <row r="21" spans="1:5" x14ac:dyDescent="0.25">
      <c r="B21" s="5"/>
      <c r="C21" s="5"/>
      <c r="D21" s="5"/>
    </row>
    <row r="22" spans="1:5" x14ac:dyDescent="0.25">
      <c r="B22" s="5"/>
      <c r="C22" s="5"/>
      <c r="D22" s="5"/>
    </row>
    <row r="23" spans="1:5" x14ac:dyDescent="0.25">
      <c r="B23" s="5"/>
      <c r="C23" s="5"/>
      <c r="D23" s="5"/>
    </row>
    <row r="24" spans="1:5" x14ac:dyDescent="0.25">
      <c r="A24" t="s">
        <v>18</v>
      </c>
      <c r="B24" s="5"/>
      <c r="C24" s="5"/>
      <c r="D24" s="5"/>
    </row>
    <row r="25" spans="1:5" x14ac:dyDescent="0.25">
      <c r="B25" s="5"/>
      <c r="C25" s="5"/>
      <c r="D25" s="5"/>
    </row>
    <row r="26" spans="1:5" x14ac:dyDescent="0.25">
      <c r="B26" s="5"/>
      <c r="C26" s="5"/>
      <c r="D26" s="5"/>
    </row>
    <row r="27" spans="1:5" ht="15.75" thickBot="1" x14ac:dyDescent="0.3">
      <c r="B27" s="5"/>
      <c r="C27" s="5"/>
      <c r="D27" s="5"/>
    </row>
    <row r="28" spans="1:5" ht="16.5" thickBot="1" x14ac:dyDescent="0.3">
      <c r="A28" s="1" t="s">
        <v>0</v>
      </c>
      <c r="B28" s="6" t="s">
        <v>14</v>
      </c>
      <c r="C28" s="6" t="s">
        <v>2</v>
      </c>
      <c r="D28" s="6" t="s">
        <v>3</v>
      </c>
    </row>
    <row r="29" spans="1:5" ht="16.5" thickBot="1" x14ac:dyDescent="0.3">
      <c r="A29" s="3" t="s">
        <v>20</v>
      </c>
      <c r="B29" s="8">
        <v>2418589</v>
      </c>
      <c r="C29" s="8">
        <v>2365000</v>
      </c>
      <c r="D29" s="8">
        <f>+B29-C29</f>
        <v>53589</v>
      </c>
      <c r="E29" s="7">
        <f>+D29/D38</f>
        <v>3.3359196167187782E-3</v>
      </c>
    </row>
    <row r="30" spans="1:5" ht="16.5" thickBot="1" x14ac:dyDescent="0.3">
      <c r="A30" s="3" t="s">
        <v>21</v>
      </c>
      <c r="B30" s="8">
        <v>2115750</v>
      </c>
      <c r="C30" s="8">
        <v>2451000</v>
      </c>
      <c r="D30" s="8">
        <f t="shared" ref="D30:D37" si="1">+B30-C30</f>
        <v>-335250</v>
      </c>
      <c r="E30" s="7">
        <f>+D30/D38</f>
        <v>-2.0869339817965821E-2</v>
      </c>
    </row>
    <row r="31" spans="1:5" ht="16.5" thickBot="1" x14ac:dyDescent="0.3">
      <c r="A31" s="3" t="s">
        <v>22</v>
      </c>
      <c r="B31" s="8">
        <v>78000</v>
      </c>
      <c r="C31" s="8">
        <v>76000</v>
      </c>
      <c r="D31" s="8">
        <f t="shared" si="1"/>
        <v>2000</v>
      </c>
      <c r="E31" s="7">
        <f>+D31/D38</f>
        <v>1.2450016297071333E-4</v>
      </c>
    </row>
    <row r="32" spans="1:5" ht="16.5" thickBot="1" x14ac:dyDescent="0.3">
      <c r="A32" s="3" t="s">
        <v>19</v>
      </c>
      <c r="B32" s="8">
        <v>2418000</v>
      </c>
      <c r="C32" s="8">
        <v>3566000</v>
      </c>
      <c r="D32" s="8">
        <f t="shared" si="1"/>
        <v>-1148000</v>
      </c>
      <c r="E32" s="7">
        <f>+D32/D38</f>
        <v>-7.1463093545189454E-2</v>
      </c>
    </row>
    <row r="33" spans="1:5" ht="16.5" thickBot="1" x14ac:dyDescent="0.3">
      <c r="A33" s="3" t="s">
        <v>23</v>
      </c>
      <c r="B33" s="8">
        <f>482000-657000</f>
        <v>-175000</v>
      </c>
      <c r="C33" s="8">
        <v>-505000</v>
      </c>
      <c r="D33" s="8">
        <f t="shared" si="1"/>
        <v>330000</v>
      </c>
      <c r="E33" s="7">
        <f>+D33/D38</f>
        <v>2.0542526890167698E-2</v>
      </c>
    </row>
    <row r="34" spans="1:5" ht="16.5" thickBot="1" x14ac:dyDescent="0.3">
      <c r="A34" s="3" t="s">
        <v>24</v>
      </c>
      <c r="B34" s="8">
        <v>84630</v>
      </c>
      <c r="C34" s="8">
        <v>183000</v>
      </c>
      <c r="D34" s="8">
        <f t="shared" si="1"/>
        <v>-98370</v>
      </c>
      <c r="E34" s="7">
        <f>+D34/D38</f>
        <v>-6.1235405157145347E-3</v>
      </c>
    </row>
    <row r="35" spans="1:5" ht="16.5" thickBot="1" x14ac:dyDescent="0.3">
      <c r="A35" s="3" t="s">
        <v>27</v>
      </c>
      <c r="B35" s="8">
        <f>21311224+2846294-1</f>
        <v>24157517</v>
      </c>
      <c r="C35" s="8">
        <v>6769000</v>
      </c>
      <c r="D35" s="8">
        <f t="shared" si="1"/>
        <v>17388517</v>
      </c>
      <c r="E35" s="7">
        <f>+D35/D38</f>
        <v>1.0824366001595096</v>
      </c>
    </row>
    <row r="36" spans="1:5" ht="16.5" thickBot="1" x14ac:dyDescent="0.3">
      <c r="A36" s="3" t="s">
        <v>25</v>
      </c>
      <c r="B36" s="8">
        <v>3324750</v>
      </c>
      <c r="C36" s="8">
        <v>3514000</v>
      </c>
      <c r="D36" s="8">
        <f t="shared" si="1"/>
        <v>-189250</v>
      </c>
      <c r="E36" s="7">
        <f>+D36/D38</f>
        <v>-1.1780827921103749E-2</v>
      </c>
    </row>
    <row r="37" spans="1:5" ht="16.5" thickBot="1" x14ac:dyDescent="0.3">
      <c r="A37" s="3" t="s">
        <v>26</v>
      </c>
      <c r="B37" s="8">
        <v>1000000</v>
      </c>
      <c r="C37" s="8">
        <v>939000</v>
      </c>
      <c r="D37" s="8">
        <f t="shared" si="1"/>
        <v>61000</v>
      </c>
      <c r="E37" s="7">
        <f>+D37/D38</f>
        <v>3.7972549706067563E-3</v>
      </c>
    </row>
    <row r="38" spans="1:5" ht="16.5" thickBot="1" x14ac:dyDescent="0.3">
      <c r="A38" s="3" t="s">
        <v>40</v>
      </c>
      <c r="B38" s="8">
        <f>SUM(B29:B37)</f>
        <v>35422236</v>
      </c>
      <c r="C38" s="8">
        <f>SUM(C29:C37)</f>
        <v>19358000</v>
      </c>
      <c r="D38" s="8">
        <f>SUM(D29:D37)</f>
        <v>16064236</v>
      </c>
    </row>
    <row r="39" spans="1:5" x14ac:dyDescent="0.25">
      <c r="B39" s="5"/>
      <c r="C39" s="5"/>
      <c r="D39" s="5"/>
    </row>
  </sheetData>
  <pageMargins left="0.7" right="0.7" top="0.75" bottom="0.75" header="0.3" footer="0.3"/>
  <pageSetup scale="80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Normal="100" workbookViewId="0"/>
  </sheetViews>
  <sheetFormatPr defaultRowHeight="15" x14ac:dyDescent="0.25"/>
  <cols>
    <col min="1" max="1" width="52.42578125" customWidth="1"/>
    <col min="2" max="4" width="16.7109375" customWidth="1"/>
  </cols>
  <sheetData>
    <row r="1" spans="1:7" ht="15.75" x14ac:dyDescent="0.25">
      <c r="A1" s="22" t="s">
        <v>49</v>
      </c>
    </row>
    <row r="2" spans="1:7" ht="15.75" x14ac:dyDescent="0.25">
      <c r="A2" s="22" t="s">
        <v>51</v>
      </c>
    </row>
    <row r="4" spans="1:7" x14ac:dyDescent="0.25">
      <c r="A4" t="s">
        <v>17</v>
      </c>
      <c r="B4" t="s">
        <v>30</v>
      </c>
    </row>
    <row r="6" spans="1:7" x14ac:dyDescent="0.25">
      <c r="E6" t="s">
        <v>33</v>
      </c>
      <c r="G6" t="s">
        <v>32</v>
      </c>
    </row>
    <row r="7" spans="1:7" ht="15.75" thickBot="1" x14ac:dyDescent="0.3">
      <c r="B7" s="5"/>
      <c r="C7" s="5"/>
      <c r="D7" s="5"/>
    </row>
    <row r="8" spans="1:7" ht="16.5" thickBot="1" x14ac:dyDescent="0.3">
      <c r="A8" s="1" t="s">
        <v>0</v>
      </c>
      <c r="B8" s="6" t="s">
        <v>1</v>
      </c>
      <c r="C8" s="6" t="s">
        <v>2</v>
      </c>
      <c r="D8" s="6" t="s">
        <v>3</v>
      </c>
    </row>
    <row r="9" spans="1:7" ht="16.5" thickBot="1" x14ac:dyDescent="0.3">
      <c r="A9" s="3" t="s">
        <v>20</v>
      </c>
      <c r="B9" s="8">
        <v>3019638.4199999995</v>
      </c>
      <c r="C9" s="8">
        <v>2365000</v>
      </c>
      <c r="D9" s="8">
        <f t="shared" ref="D9:D17" si="0">+B9-C9</f>
        <v>654638.41999999946</v>
      </c>
      <c r="E9" s="7">
        <f>+D9/D18</f>
        <v>5.092813462497453E-2</v>
      </c>
      <c r="G9" s="7">
        <f>+D9/C9</f>
        <v>0.27680271458773764</v>
      </c>
    </row>
    <row r="10" spans="1:7" ht="16.5" thickBot="1" x14ac:dyDescent="0.3">
      <c r="A10" s="3" t="s">
        <v>21</v>
      </c>
      <c r="B10" s="8">
        <v>2377804.1799999997</v>
      </c>
      <c r="C10" s="8">
        <v>2451000</v>
      </c>
      <c r="D10" s="8">
        <f t="shared" si="0"/>
        <v>-73195.820000000298</v>
      </c>
      <c r="E10" s="7">
        <f>+D10/D18</f>
        <v>-5.6943290541142111E-3</v>
      </c>
      <c r="G10" s="7">
        <f t="shared" ref="G10:G20" si="1">+D10/C10</f>
        <v>-2.9863655650754915E-2</v>
      </c>
    </row>
    <row r="11" spans="1:7" ht="16.5" thickBot="1" x14ac:dyDescent="0.3">
      <c r="A11" s="3" t="s">
        <v>22</v>
      </c>
      <c r="B11" s="8">
        <v>42758.919999999991</v>
      </c>
      <c r="C11" s="8">
        <v>76000</v>
      </c>
      <c r="D11" s="8">
        <f t="shared" si="0"/>
        <v>-33241.080000000009</v>
      </c>
      <c r="E11" s="7">
        <f>+D11/D18</f>
        <v>-2.5860171746710961E-3</v>
      </c>
      <c r="G11" s="7">
        <f t="shared" si="1"/>
        <v>-0.43738263157894747</v>
      </c>
    </row>
    <row r="12" spans="1:7" ht="16.5" thickBot="1" x14ac:dyDescent="0.3">
      <c r="A12" s="3" t="s">
        <v>19</v>
      </c>
      <c r="B12" s="8">
        <v>2193254.3500000006</v>
      </c>
      <c r="C12" s="8">
        <v>3566000</v>
      </c>
      <c r="D12" s="8">
        <f t="shared" si="0"/>
        <v>-1372745.6499999994</v>
      </c>
      <c r="E12" s="7">
        <f>+D12/D18</f>
        <v>-0.10679387755617552</v>
      </c>
      <c r="G12" s="7">
        <f t="shared" si="1"/>
        <v>-0.38495391194615802</v>
      </c>
    </row>
    <row r="13" spans="1:7" ht="16.5" thickBot="1" x14ac:dyDescent="0.3">
      <c r="A13" s="3" t="s">
        <v>23</v>
      </c>
      <c r="B13" s="8">
        <v>-428801.17000000004</v>
      </c>
      <c r="C13" s="8">
        <v>-505000</v>
      </c>
      <c r="D13" s="8">
        <f t="shared" si="0"/>
        <v>76198.829999999958</v>
      </c>
      <c r="E13" s="7">
        <f>+D13/D18</f>
        <v>5.9279506884205623E-3</v>
      </c>
      <c r="G13" s="7">
        <f t="shared" si="1"/>
        <v>-0.15088877227722763</v>
      </c>
    </row>
    <row r="14" spans="1:7" ht="16.5" thickBot="1" x14ac:dyDescent="0.3">
      <c r="A14" s="3" t="s">
        <v>24</v>
      </c>
      <c r="B14" s="8">
        <v>83083.139999999985</v>
      </c>
      <c r="C14" s="8">
        <v>183000</v>
      </c>
      <c r="D14" s="8">
        <f t="shared" si="0"/>
        <v>-99916.860000000015</v>
      </c>
      <c r="E14" s="7">
        <f>+D14/D18</f>
        <v>-7.7731143512547547E-3</v>
      </c>
      <c r="G14" s="7">
        <f t="shared" si="1"/>
        <v>-0.54599377049180331</v>
      </c>
    </row>
    <row r="15" spans="1:7" ht="16.5" thickBot="1" x14ac:dyDescent="0.3">
      <c r="A15" s="3" t="s">
        <v>27</v>
      </c>
      <c r="B15" s="8">
        <v>20515732.900000002</v>
      </c>
      <c r="C15" s="8">
        <v>6769000</v>
      </c>
      <c r="D15" s="8">
        <f t="shared" si="0"/>
        <v>13746732.900000002</v>
      </c>
      <c r="E15" s="7">
        <f>+D15/D18</f>
        <v>1.0694383989634573</v>
      </c>
      <c r="G15" s="7">
        <f t="shared" si="1"/>
        <v>2.0308365932929533</v>
      </c>
    </row>
    <row r="16" spans="1:7" ht="16.5" thickBot="1" x14ac:dyDescent="0.3">
      <c r="A16" s="3" t="s">
        <v>25</v>
      </c>
      <c r="B16" s="8">
        <v>3289911.8200000008</v>
      </c>
      <c r="C16" s="8">
        <v>3514000</v>
      </c>
      <c r="D16" s="8">
        <f t="shared" si="0"/>
        <v>-224088.17999999924</v>
      </c>
      <c r="E16" s="7">
        <f>+D16/D18</f>
        <v>-1.7433124378653939E-2</v>
      </c>
      <c r="G16" s="7">
        <f t="shared" si="1"/>
        <v>-6.3770113830392494E-2</v>
      </c>
    </row>
    <row r="17" spans="1:7" ht="16.5" thickBot="1" x14ac:dyDescent="0.3">
      <c r="A17" s="3" t="s">
        <v>26</v>
      </c>
      <c r="B17" s="8">
        <v>1118778.01</v>
      </c>
      <c r="C17" s="8">
        <v>939000</v>
      </c>
      <c r="D17" s="8">
        <f t="shared" si="0"/>
        <v>179778.01</v>
      </c>
      <c r="E17" s="7">
        <f>+D17/D18</f>
        <v>1.3985978238017295E-2</v>
      </c>
      <c r="G17" s="7">
        <f t="shared" si="1"/>
        <v>0.19145687965921193</v>
      </c>
    </row>
    <row r="18" spans="1:7" ht="16.5" thickBot="1" x14ac:dyDescent="0.3">
      <c r="A18" s="3" t="s">
        <v>42</v>
      </c>
      <c r="B18" s="8">
        <f>SUM(B9:B17)</f>
        <v>32212160.570000004</v>
      </c>
      <c r="C18" s="8">
        <f>SUM(C9:C17)</f>
        <v>19358000</v>
      </c>
      <c r="D18" s="8">
        <f>SUM(D9:D17)</f>
        <v>12854160.570000002</v>
      </c>
      <c r="G18" s="7">
        <f t="shared" si="1"/>
        <v>0.6640231723318526</v>
      </c>
    </row>
    <row r="19" spans="1:7" ht="15.75" thickBot="1" x14ac:dyDescent="0.3">
      <c r="B19" s="5"/>
      <c r="C19" s="5"/>
      <c r="D19" s="5"/>
    </row>
    <row r="20" spans="1:7" ht="16.5" thickBot="1" x14ac:dyDescent="0.3">
      <c r="A20" s="9" t="s">
        <v>28</v>
      </c>
      <c r="B20" s="10">
        <v>5339868.4600000018</v>
      </c>
      <c r="C20" s="11">
        <v>5130000</v>
      </c>
      <c r="D20" s="10">
        <f t="shared" ref="D20:D21" si="2">+B20-C20</f>
        <v>209868.46000000183</v>
      </c>
      <c r="G20" s="7">
        <f t="shared" si="1"/>
        <v>4.0910031189084178E-2</v>
      </c>
    </row>
    <row r="21" spans="1:7" ht="16.5" thickBot="1" x14ac:dyDescent="0.3">
      <c r="A21" s="9" t="s">
        <v>29</v>
      </c>
      <c r="B21" s="8">
        <v>5260320.9688607212</v>
      </c>
      <c r="C21" s="11">
        <v>5130000</v>
      </c>
      <c r="D21" s="10">
        <f t="shared" si="2"/>
        <v>130320.96886072122</v>
      </c>
    </row>
    <row r="22" spans="1:7" x14ac:dyDescent="0.25">
      <c r="B22" s="5"/>
      <c r="C22" s="5"/>
      <c r="D22" s="5"/>
    </row>
    <row r="23" spans="1:7" x14ac:dyDescent="0.25">
      <c r="B23" s="5"/>
      <c r="C23" s="5"/>
      <c r="D23" s="5"/>
    </row>
    <row r="24" spans="1:7" x14ac:dyDescent="0.25">
      <c r="A24" t="s">
        <v>18</v>
      </c>
      <c r="B24" s="5" t="s">
        <v>31</v>
      </c>
      <c r="C24" s="5"/>
      <c r="D24" s="5"/>
    </row>
    <row r="25" spans="1:7" x14ac:dyDescent="0.25">
      <c r="B25" s="5"/>
      <c r="C25" s="5"/>
      <c r="D25" s="5"/>
    </row>
    <row r="26" spans="1:7" x14ac:dyDescent="0.25">
      <c r="B26" s="5"/>
      <c r="C26" s="5"/>
      <c r="D26" s="5"/>
      <c r="E26" t="s">
        <v>33</v>
      </c>
      <c r="G26" t="s">
        <v>32</v>
      </c>
    </row>
    <row r="27" spans="1:7" ht="15.75" thickBot="1" x14ac:dyDescent="0.3">
      <c r="B27" s="5"/>
      <c r="C27" s="5"/>
      <c r="D27" s="5"/>
    </row>
    <row r="28" spans="1:7" ht="16.5" thickBot="1" x14ac:dyDescent="0.3">
      <c r="A28" s="1" t="s">
        <v>0</v>
      </c>
      <c r="B28" s="6" t="s">
        <v>14</v>
      </c>
      <c r="C28" s="6" t="s">
        <v>2</v>
      </c>
      <c r="D28" s="6" t="s">
        <v>3</v>
      </c>
    </row>
    <row r="29" spans="1:7" ht="16.5" thickBot="1" x14ac:dyDescent="0.3">
      <c r="A29" s="3" t="s">
        <v>20</v>
      </c>
      <c r="B29" s="12">
        <v>2699697.2983333333</v>
      </c>
      <c r="C29" s="8">
        <v>2365000</v>
      </c>
      <c r="D29" s="8">
        <f>+B29-C29</f>
        <v>334697.29833333334</v>
      </c>
      <c r="E29" s="7">
        <f>+D29/D38</f>
        <v>1.8452873659602426E-2</v>
      </c>
      <c r="G29" s="7">
        <f>+D29/C29</f>
        <v>0.1415210563777308</v>
      </c>
    </row>
    <row r="30" spans="1:7" ht="16.5" thickBot="1" x14ac:dyDescent="0.3">
      <c r="A30" s="3" t="s">
        <v>21</v>
      </c>
      <c r="B30" s="12">
        <v>2167500</v>
      </c>
      <c r="C30" s="8">
        <v>2451000</v>
      </c>
      <c r="D30" s="8">
        <f t="shared" ref="D30:D37" si="3">+B30-C30</f>
        <v>-283500</v>
      </c>
      <c r="E30" s="7">
        <f>+D30/D38</f>
        <v>-1.5630211861725925E-2</v>
      </c>
      <c r="G30" s="7">
        <f t="shared" ref="G30:G40" si="4">+D30/C30</f>
        <v>-0.11566707466340269</v>
      </c>
    </row>
    <row r="31" spans="1:7" ht="16.5" thickBot="1" x14ac:dyDescent="0.3">
      <c r="A31" s="3" t="s">
        <v>22</v>
      </c>
      <c r="B31" s="12">
        <v>59250</v>
      </c>
      <c r="C31" s="8">
        <v>76000</v>
      </c>
      <c r="D31" s="8">
        <f t="shared" si="3"/>
        <v>-16750</v>
      </c>
      <c r="E31" s="7">
        <f>+D31/D38</f>
        <v>-9.2347812586916842E-4</v>
      </c>
      <c r="G31" s="7">
        <f t="shared" si="4"/>
        <v>-0.22039473684210525</v>
      </c>
    </row>
    <row r="32" spans="1:7" ht="16.5" thickBot="1" x14ac:dyDescent="0.3">
      <c r="A32" s="3" t="s">
        <v>19</v>
      </c>
      <c r="B32" s="12">
        <v>2653124.9999999995</v>
      </c>
      <c r="C32" s="8">
        <v>3566000</v>
      </c>
      <c r="D32" s="8">
        <f t="shared" si="3"/>
        <v>-912875.00000000047</v>
      </c>
      <c r="E32" s="7">
        <f>+D32/D38</f>
        <v>-5.0329557859869707E-2</v>
      </c>
      <c r="G32" s="7">
        <f t="shared" si="4"/>
        <v>-0.25599411104879427</v>
      </c>
    </row>
    <row r="33" spans="1:7" ht="16.5" thickBot="1" x14ac:dyDescent="0.3">
      <c r="A33" s="3" t="s">
        <v>23</v>
      </c>
      <c r="B33" s="12">
        <f>459682.74-929500</f>
        <v>-469817.26</v>
      </c>
      <c r="C33" s="8">
        <v>-505000</v>
      </c>
      <c r="D33" s="8">
        <f t="shared" si="3"/>
        <v>35182.739999999991</v>
      </c>
      <c r="E33" s="7">
        <f>+D33/D38</f>
        <v>1.9397307939189384E-3</v>
      </c>
      <c r="G33" s="7">
        <f t="shared" si="4"/>
        <v>-6.9668792079207897E-2</v>
      </c>
    </row>
    <row r="34" spans="1:7" ht="16.5" thickBot="1" x14ac:dyDescent="0.3">
      <c r="A34" s="3" t="s">
        <v>24</v>
      </c>
      <c r="B34" s="12">
        <v>70000.000000000015</v>
      </c>
      <c r="C34" s="8">
        <v>183000</v>
      </c>
      <c r="D34" s="8">
        <f t="shared" si="3"/>
        <v>-112999.99999999999</v>
      </c>
      <c r="E34" s="7">
        <f>+D34/D38</f>
        <v>-6.2300315357143891E-3</v>
      </c>
      <c r="G34" s="7">
        <f t="shared" si="4"/>
        <v>-0.61748633879781412</v>
      </c>
    </row>
    <row r="35" spans="1:7" ht="16.5" thickBot="1" x14ac:dyDescent="0.3">
      <c r="A35" s="3" t="s">
        <v>27</v>
      </c>
      <c r="B35" s="12">
        <f>23222500+2786470.75</f>
        <v>26008970.75</v>
      </c>
      <c r="C35" s="8">
        <v>6769000</v>
      </c>
      <c r="D35" s="8">
        <f t="shared" si="3"/>
        <v>19239970.75</v>
      </c>
      <c r="E35" s="7">
        <f>+D35/D38</f>
        <v>1.0607577391037384</v>
      </c>
      <c r="G35" s="7">
        <f t="shared" si="4"/>
        <v>2.8423653050672182</v>
      </c>
    </row>
    <row r="36" spans="1:7" ht="16.5" thickBot="1" x14ac:dyDescent="0.3">
      <c r="A36" s="3" t="s">
        <v>25</v>
      </c>
      <c r="B36" s="12">
        <v>3302131.6091666659</v>
      </c>
      <c r="C36" s="8">
        <v>3514000</v>
      </c>
      <c r="D36" s="8">
        <f t="shared" si="3"/>
        <v>-211868.39083333407</v>
      </c>
      <c r="E36" s="7">
        <f>+D36/D38</f>
        <v>-1.168094474613038E-2</v>
      </c>
      <c r="G36" s="7">
        <f t="shared" si="4"/>
        <v>-6.0292655331056932E-2</v>
      </c>
    </row>
    <row r="37" spans="1:7" ht="16.5" thickBot="1" x14ac:dyDescent="0.3">
      <c r="A37" s="3" t="s">
        <v>26</v>
      </c>
      <c r="B37" s="12">
        <v>1005092.5233333335</v>
      </c>
      <c r="C37" s="8">
        <v>939000</v>
      </c>
      <c r="D37" s="8">
        <f t="shared" si="3"/>
        <v>66092.523333333549</v>
      </c>
      <c r="E37" s="7">
        <f>+D37/D38</f>
        <v>3.6438805720496212E-3</v>
      </c>
      <c r="G37" s="7">
        <f t="shared" si="4"/>
        <v>7.0386073837415922E-2</v>
      </c>
    </row>
    <row r="38" spans="1:7" ht="16.5" thickBot="1" x14ac:dyDescent="0.3">
      <c r="A38" s="3" t="s">
        <v>41</v>
      </c>
      <c r="B38" s="12">
        <f>SUM(B29:B37)</f>
        <v>37495949.920833334</v>
      </c>
      <c r="C38" s="8">
        <f>SUM(C29:C37)</f>
        <v>19358000</v>
      </c>
      <c r="D38" s="8">
        <f>SUM(D29:D37)</f>
        <v>18137949.920833334</v>
      </c>
      <c r="G38" s="7">
        <f t="shared" si="4"/>
        <v>0.93697437342872891</v>
      </c>
    </row>
    <row r="39" spans="1:7" ht="15.75" thickBot="1" x14ac:dyDescent="0.3">
      <c r="B39" s="13"/>
      <c r="C39" s="5"/>
      <c r="D39" s="5"/>
    </row>
    <row r="40" spans="1:7" ht="16.5" thickBot="1" x14ac:dyDescent="0.3">
      <c r="A40" s="9" t="s">
        <v>28</v>
      </c>
      <c r="B40" s="14">
        <v>4500000</v>
      </c>
      <c r="C40" s="11">
        <v>5130000</v>
      </c>
      <c r="D40" s="10">
        <f t="shared" ref="D40" si="5">+B40-C40</f>
        <v>-630000</v>
      </c>
      <c r="G40" s="7">
        <f t="shared" si="4"/>
        <v>-0.12280701754385964</v>
      </c>
    </row>
  </sheetData>
  <pageMargins left="0.7" right="0.7" top="0.75" bottom="0.75" header="0.3" footer="0.3"/>
  <pageSetup scale="64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zoomScaleNormal="100" workbookViewId="0">
      <selection activeCell="A3" sqref="A3"/>
    </sheetView>
  </sheetViews>
  <sheetFormatPr defaultRowHeight="15" x14ac:dyDescent="0.25"/>
  <cols>
    <col min="1" max="1" width="52.42578125" customWidth="1"/>
    <col min="2" max="4" width="16.7109375" customWidth="1"/>
    <col min="5" max="5" width="10.28515625" bestFit="1" customWidth="1"/>
    <col min="10" max="11" width="13.28515625" bestFit="1" customWidth="1"/>
    <col min="12" max="12" width="15" bestFit="1" customWidth="1"/>
    <col min="15" max="17" width="11.7109375" bestFit="1" customWidth="1"/>
  </cols>
  <sheetData>
    <row r="1" spans="1:17" ht="15.75" x14ac:dyDescent="0.25">
      <c r="A1" s="22" t="s">
        <v>49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15.75" x14ac:dyDescent="0.25">
      <c r="A2" s="22" t="s">
        <v>50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15.75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15.75" x14ac:dyDescent="0.25">
      <c r="A4" s="22" t="s">
        <v>17</v>
      </c>
      <c r="B4" s="22" t="s">
        <v>36</v>
      </c>
      <c r="C4" s="25" t="s">
        <v>35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ht="15.75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ht="15.75" x14ac:dyDescent="0.25">
      <c r="A6" s="22"/>
      <c r="B6" s="22"/>
      <c r="C6" s="22"/>
      <c r="D6" s="22"/>
      <c r="E6" s="22" t="s">
        <v>33</v>
      </c>
      <c r="F6" s="22"/>
      <c r="G6" s="22" t="s">
        <v>32</v>
      </c>
      <c r="H6" s="22"/>
      <c r="I6" s="22"/>
      <c r="J6" s="22">
        <v>44576</v>
      </c>
      <c r="K6" s="22">
        <v>45029</v>
      </c>
      <c r="L6" s="25" t="s">
        <v>34</v>
      </c>
      <c r="M6" s="22"/>
      <c r="N6" s="22"/>
      <c r="O6" s="22">
        <v>44576</v>
      </c>
      <c r="P6" s="22">
        <v>45029</v>
      </c>
      <c r="Q6" s="25" t="s">
        <v>34</v>
      </c>
    </row>
    <row r="7" spans="1:17" ht="16.5" thickBot="1" x14ac:dyDescent="0.3">
      <c r="A7" s="22"/>
      <c r="B7" s="26"/>
      <c r="C7" s="26"/>
      <c r="D7" s="26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ht="16.5" thickBot="1" x14ac:dyDescent="0.3">
      <c r="A8" s="1" t="s">
        <v>0</v>
      </c>
      <c r="B8" s="6" t="s">
        <v>1</v>
      </c>
      <c r="C8" s="6" t="s">
        <v>2</v>
      </c>
      <c r="D8" s="6" t="s">
        <v>3</v>
      </c>
      <c r="E8" s="19" t="s">
        <v>43</v>
      </c>
      <c r="F8" s="22"/>
      <c r="G8" s="22"/>
      <c r="H8" s="22"/>
      <c r="I8" s="22"/>
      <c r="J8" s="15" t="s">
        <v>2</v>
      </c>
      <c r="K8" s="6" t="s">
        <v>2</v>
      </c>
      <c r="L8" s="22"/>
      <c r="M8" s="22"/>
      <c r="N8" s="22"/>
      <c r="O8" s="22"/>
      <c r="P8" s="22"/>
      <c r="Q8" s="22"/>
    </row>
    <row r="9" spans="1:17" ht="16.5" thickBot="1" x14ac:dyDescent="0.3">
      <c r="A9" s="3" t="s">
        <v>20</v>
      </c>
      <c r="B9" s="12">
        <v>2875955</v>
      </c>
      <c r="C9" s="8">
        <f>+L9</f>
        <v>2386919</v>
      </c>
      <c r="D9" s="8">
        <f t="shared" ref="D9:D17" si="0">+B9-C9</f>
        <v>489036</v>
      </c>
      <c r="E9" s="20">
        <f>+D9/D18</f>
        <v>6.3414404215282147E-2</v>
      </c>
      <c r="F9" s="22"/>
      <c r="G9" s="27">
        <f>+D9/C9</f>
        <v>0.20488169058103772</v>
      </c>
      <c r="H9" s="22"/>
      <c r="I9" s="22"/>
      <c r="J9" s="16">
        <v>2365000</v>
      </c>
      <c r="K9" s="8">
        <v>2419000</v>
      </c>
      <c r="L9" s="21">
        <f>ROUND(+J9/12*(7+4/31)+K9/12*(4+27/31),0)</f>
        <v>2386919</v>
      </c>
      <c r="M9" s="22"/>
      <c r="N9" s="22"/>
      <c r="O9" s="22"/>
      <c r="P9" s="22"/>
      <c r="Q9" s="22"/>
    </row>
    <row r="10" spans="1:17" ht="16.5" thickBot="1" x14ac:dyDescent="0.3">
      <c r="A10" s="3" t="s">
        <v>21</v>
      </c>
      <c r="B10" s="12">
        <v>2581044</v>
      </c>
      <c r="C10" s="8">
        <f t="shared" ref="C10:C17" si="1">+L10</f>
        <v>2315019</v>
      </c>
      <c r="D10" s="8">
        <f t="shared" si="0"/>
        <v>266025</v>
      </c>
      <c r="E10" s="20">
        <f>+D10/D18</f>
        <v>3.4496063441894737E-2</v>
      </c>
      <c r="F10" s="22"/>
      <c r="G10" s="27">
        <f t="shared" ref="G10:G20" si="2">+D10/C10</f>
        <v>0.11491266378375296</v>
      </c>
      <c r="H10" s="22"/>
      <c r="I10" s="22"/>
      <c r="J10" s="16">
        <v>2451000</v>
      </c>
      <c r="K10" s="8">
        <v>2116000</v>
      </c>
      <c r="L10" s="21">
        <f t="shared" ref="L10:L17" si="3">ROUND(+J10/12*(7+4/31)+K10/12*(4+27/31),0)</f>
        <v>2315019</v>
      </c>
      <c r="M10" s="22"/>
      <c r="N10" s="22"/>
      <c r="O10" s="22"/>
      <c r="P10" s="22"/>
      <c r="Q10" s="22"/>
    </row>
    <row r="11" spans="1:17" ht="16.5" thickBot="1" x14ac:dyDescent="0.3">
      <c r="A11" s="3" t="s">
        <v>22</v>
      </c>
      <c r="B11" s="12">
        <v>37749</v>
      </c>
      <c r="C11" s="8">
        <f t="shared" si="1"/>
        <v>76812</v>
      </c>
      <c r="D11" s="8">
        <f t="shared" si="0"/>
        <v>-39063</v>
      </c>
      <c r="E11" s="20">
        <f>+D11/D18</f>
        <v>-5.0653875621867643E-3</v>
      </c>
      <c r="F11" s="22"/>
      <c r="G11" s="27">
        <f t="shared" si="2"/>
        <v>-0.5085533510389002</v>
      </c>
      <c r="H11" s="22"/>
      <c r="I11" s="22"/>
      <c r="J11" s="16">
        <v>76000</v>
      </c>
      <c r="K11" s="8">
        <v>78000</v>
      </c>
      <c r="L11" s="21">
        <f t="shared" si="3"/>
        <v>76812</v>
      </c>
      <c r="M11" s="22"/>
      <c r="N11" s="22" t="s">
        <v>44</v>
      </c>
      <c r="O11" s="23">
        <f>ROUND(412815,-3)</f>
        <v>413000</v>
      </c>
      <c r="P11" s="23">
        <v>482000</v>
      </c>
      <c r="Q11" s="21">
        <f t="shared" ref="Q11:Q12" si="4">ROUND(+O11/12*(7+4/31)+P11/12*(4+27/31),0)</f>
        <v>441008</v>
      </c>
    </row>
    <row r="12" spans="1:17" ht="16.5" thickBot="1" x14ac:dyDescent="0.3">
      <c r="A12" s="3" t="s">
        <v>19</v>
      </c>
      <c r="B12" s="12">
        <v>2633987</v>
      </c>
      <c r="C12" s="8">
        <f t="shared" si="1"/>
        <v>3100011</v>
      </c>
      <c r="D12" s="8">
        <f t="shared" si="0"/>
        <v>-466024</v>
      </c>
      <c r="E12" s="20">
        <f>+D12/D18</f>
        <v>-6.0430386127039007E-2</v>
      </c>
      <c r="F12" s="22"/>
      <c r="G12" s="27">
        <f t="shared" si="2"/>
        <v>-0.15032978915236106</v>
      </c>
      <c r="H12" s="22"/>
      <c r="I12" s="22"/>
      <c r="J12" s="16">
        <v>3566000</v>
      </c>
      <c r="K12" s="8">
        <v>2418000</v>
      </c>
      <c r="L12" s="21">
        <f t="shared" si="3"/>
        <v>3100011</v>
      </c>
      <c r="M12" s="22"/>
      <c r="N12" s="22" t="s">
        <v>45</v>
      </c>
      <c r="O12" s="23">
        <f>ROUND(-918030,-3)</f>
        <v>-918000</v>
      </c>
      <c r="P12" s="23">
        <v>-657000</v>
      </c>
      <c r="Q12" s="21">
        <f t="shared" si="4"/>
        <v>-812056</v>
      </c>
    </row>
    <row r="13" spans="1:17" ht="16.5" thickBot="1" x14ac:dyDescent="0.3">
      <c r="A13" s="3" t="s">
        <v>23</v>
      </c>
      <c r="B13" s="12">
        <v>-539202</v>
      </c>
      <c r="C13" s="8">
        <f t="shared" si="1"/>
        <v>-371048</v>
      </c>
      <c r="D13" s="8">
        <f t="shared" si="0"/>
        <v>-168154</v>
      </c>
      <c r="E13" s="20">
        <f>+D13/D18</f>
        <v>-2.1804909508536294E-2</v>
      </c>
      <c r="F13" s="22"/>
      <c r="G13" s="27">
        <f t="shared" si="2"/>
        <v>0.45318664970569844</v>
      </c>
      <c r="H13" s="22"/>
      <c r="I13" s="22"/>
      <c r="J13" s="16">
        <v>-505000</v>
      </c>
      <c r="K13" s="8">
        <v>-175000</v>
      </c>
      <c r="L13" s="21">
        <f t="shared" si="3"/>
        <v>-371048</v>
      </c>
      <c r="M13" s="22"/>
      <c r="N13" s="22"/>
      <c r="O13" s="24">
        <f>SUM(O11:O12)</f>
        <v>-505000</v>
      </c>
      <c r="P13" s="24">
        <f>SUM(P11:P12)</f>
        <v>-175000</v>
      </c>
      <c r="Q13" s="24">
        <f>SUM(Q11:Q12)</f>
        <v>-371048</v>
      </c>
    </row>
    <row r="14" spans="1:17" ht="16.5" thickBot="1" x14ac:dyDescent="0.3">
      <c r="A14" s="3" t="s">
        <v>24</v>
      </c>
      <c r="B14" s="12">
        <v>108231</v>
      </c>
      <c r="C14" s="8">
        <f t="shared" si="1"/>
        <v>143220</v>
      </c>
      <c r="D14" s="8">
        <f t="shared" si="0"/>
        <v>-34989</v>
      </c>
      <c r="E14" s="20">
        <f>+D14/D18</f>
        <v>-4.537102767666403E-3</v>
      </c>
      <c r="F14" s="22"/>
      <c r="G14" s="27">
        <f t="shared" si="2"/>
        <v>-0.24430247172182656</v>
      </c>
      <c r="H14" s="22"/>
      <c r="I14" s="22"/>
      <c r="J14" s="16">
        <v>183000</v>
      </c>
      <c r="K14" s="8">
        <v>85000</v>
      </c>
      <c r="L14" s="21">
        <f t="shared" si="3"/>
        <v>143220</v>
      </c>
      <c r="M14" s="22"/>
      <c r="N14" s="22"/>
      <c r="O14" s="22"/>
      <c r="P14" s="22"/>
      <c r="Q14" s="22"/>
    </row>
    <row r="15" spans="1:17" ht="16.5" thickBot="1" x14ac:dyDescent="0.3">
      <c r="A15" s="3" t="s">
        <v>27</v>
      </c>
      <c r="B15" s="12">
        <v>21625591</v>
      </c>
      <c r="C15" s="8">
        <f t="shared" si="1"/>
        <v>13827440.5</v>
      </c>
      <c r="D15" s="8">
        <f t="shared" si="0"/>
        <v>7798150.5</v>
      </c>
      <c r="E15" s="20">
        <f>+D15/D18</f>
        <v>1.0112038130906611</v>
      </c>
      <c r="F15" s="22"/>
      <c r="G15" s="27">
        <f t="shared" si="2"/>
        <v>0.56396196389346243</v>
      </c>
      <c r="H15" s="22"/>
      <c r="I15" s="22"/>
      <c r="J15" s="16">
        <v>6769000</v>
      </c>
      <c r="K15" s="8">
        <v>24158000</v>
      </c>
      <c r="L15" s="21">
        <f>ROUND(+J15/12*(7+4/31)+K15/12*(4+27/31),0)+2.5</f>
        <v>13827440.5</v>
      </c>
      <c r="M15" s="22"/>
      <c r="N15" s="22"/>
      <c r="O15" s="22"/>
      <c r="P15" s="22"/>
      <c r="Q15" s="22"/>
    </row>
    <row r="16" spans="1:17" ht="16.5" thickBot="1" x14ac:dyDescent="0.3">
      <c r="A16" s="3" t="s">
        <v>25</v>
      </c>
      <c r="B16" s="12">
        <v>3139484</v>
      </c>
      <c r="C16" s="8">
        <f t="shared" si="1"/>
        <v>3437282</v>
      </c>
      <c r="D16" s="8">
        <f t="shared" si="0"/>
        <v>-297798</v>
      </c>
      <c r="E16" s="20">
        <f>+D16/D18</f>
        <v>-3.861614021565405E-2</v>
      </c>
      <c r="F16" s="22"/>
      <c r="G16" s="27">
        <f t="shared" si="2"/>
        <v>-8.6637639856142146E-2</v>
      </c>
      <c r="H16" s="22"/>
      <c r="I16" s="22"/>
      <c r="J16" s="16">
        <v>3514000</v>
      </c>
      <c r="K16" s="8">
        <v>3325000</v>
      </c>
      <c r="L16" s="21">
        <f t="shared" si="3"/>
        <v>3437282</v>
      </c>
      <c r="M16" s="22"/>
      <c r="N16" s="22"/>
      <c r="O16" s="22"/>
      <c r="P16" s="22"/>
      <c r="Q16" s="22"/>
    </row>
    <row r="17" spans="1:17" ht="16.5" thickBot="1" x14ac:dyDescent="0.3">
      <c r="A17" s="3" t="s">
        <v>26</v>
      </c>
      <c r="B17" s="12">
        <v>1128327</v>
      </c>
      <c r="C17" s="8">
        <f t="shared" si="1"/>
        <v>963761</v>
      </c>
      <c r="D17" s="8">
        <f t="shared" si="0"/>
        <v>164566</v>
      </c>
      <c r="E17" s="20">
        <f>+D17/D18</f>
        <v>2.1339645433244427E-2</v>
      </c>
      <c r="F17" s="22"/>
      <c r="G17" s="27">
        <f t="shared" si="2"/>
        <v>0.17075395248407021</v>
      </c>
      <c r="H17" s="22"/>
      <c r="I17" s="22"/>
      <c r="J17" s="16">
        <v>939000</v>
      </c>
      <c r="K17" s="8">
        <v>1000000</v>
      </c>
      <c r="L17" s="21">
        <f t="shared" si="3"/>
        <v>963761</v>
      </c>
      <c r="M17" s="22"/>
      <c r="N17" s="22"/>
      <c r="O17" s="22"/>
      <c r="P17" s="22"/>
      <c r="Q17" s="22"/>
    </row>
    <row r="18" spans="1:17" ht="16.5" thickBot="1" x14ac:dyDescent="0.3">
      <c r="A18" s="3" t="s">
        <v>38</v>
      </c>
      <c r="B18" s="12">
        <f>SUM(B9:B17)</f>
        <v>33591166</v>
      </c>
      <c r="C18" s="12">
        <f>SUM(C9:C17)</f>
        <v>25879416.5</v>
      </c>
      <c r="D18" s="8">
        <f>SUM(D9:D17)</f>
        <v>7711749.5</v>
      </c>
      <c r="E18" s="20">
        <f>SUM(E9:E17)</f>
        <v>0.99999999999999989</v>
      </c>
      <c r="F18" s="22"/>
      <c r="G18" s="27">
        <f t="shared" si="2"/>
        <v>0.29798776568242952</v>
      </c>
      <c r="H18" s="22"/>
      <c r="I18" s="22"/>
      <c r="J18" s="16">
        <f>SUM(J9:J17)</f>
        <v>19358000</v>
      </c>
      <c r="K18" s="8">
        <f>SUM(K9:K17)</f>
        <v>35424000</v>
      </c>
      <c r="L18" s="21">
        <f>SUM(L9:L17)</f>
        <v>25879416.5</v>
      </c>
      <c r="M18" s="22"/>
      <c r="N18" s="22"/>
      <c r="O18" s="22"/>
      <c r="P18" s="22"/>
      <c r="Q18" s="22"/>
    </row>
    <row r="19" spans="1:17" ht="16.5" thickBot="1" x14ac:dyDescent="0.3">
      <c r="A19" s="22"/>
      <c r="B19" s="28"/>
      <c r="C19" s="26"/>
      <c r="D19" s="26"/>
      <c r="E19" s="22"/>
      <c r="F19" s="22"/>
      <c r="G19" s="22"/>
      <c r="H19" s="22"/>
      <c r="I19" s="22"/>
      <c r="J19" s="26"/>
      <c r="K19" s="26"/>
      <c r="L19" s="22"/>
      <c r="M19" s="22"/>
      <c r="N19" s="22"/>
      <c r="O19" s="22"/>
      <c r="P19" s="22"/>
      <c r="Q19" s="22"/>
    </row>
    <row r="20" spans="1:17" ht="16.5" thickBot="1" x14ac:dyDescent="0.3">
      <c r="A20" s="9" t="s">
        <v>28</v>
      </c>
      <c r="B20" s="14">
        <v>5690690</v>
      </c>
      <c r="C20" s="11">
        <v>4933130</v>
      </c>
      <c r="D20" s="10">
        <f t="shared" ref="D20:D21" si="5">+B20-C20</f>
        <v>757560</v>
      </c>
      <c r="E20" s="22"/>
      <c r="F20" s="22"/>
      <c r="G20" s="27">
        <f t="shared" si="2"/>
        <v>0.15356578886021655</v>
      </c>
      <c r="H20" s="22"/>
      <c r="I20" s="22"/>
      <c r="J20" s="11">
        <v>5130000</v>
      </c>
      <c r="K20" s="11">
        <v>4645000</v>
      </c>
      <c r="L20" s="21">
        <f>ROUND(+J20/12*(7+4/31)+K20/12*(4+27/31),0)-2</f>
        <v>4933130</v>
      </c>
      <c r="M20" s="22"/>
      <c r="N20" s="22"/>
      <c r="O20" s="22"/>
      <c r="P20" s="22"/>
      <c r="Q20" s="22"/>
    </row>
    <row r="21" spans="1:17" ht="16.5" thickBot="1" x14ac:dyDescent="0.3">
      <c r="A21" s="9" t="s">
        <v>29</v>
      </c>
      <c r="B21" s="12">
        <v>5606121</v>
      </c>
      <c r="C21" s="11">
        <v>4933130</v>
      </c>
      <c r="D21" s="10">
        <f t="shared" si="5"/>
        <v>672991</v>
      </c>
      <c r="E21" s="22"/>
      <c r="F21" s="22"/>
      <c r="G21" s="22"/>
      <c r="H21" s="22"/>
      <c r="I21" s="22"/>
      <c r="J21" s="11">
        <v>5130000</v>
      </c>
      <c r="K21" s="11">
        <v>4645000</v>
      </c>
      <c r="L21" s="21">
        <f>ROUND(+J21/12*(7+4/31)+K21/12*(4+27/31),0)-2</f>
        <v>4933130</v>
      </c>
      <c r="M21" s="22"/>
      <c r="N21" s="22"/>
      <c r="O21" s="22"/>
      <c r="P21" s="22"/>
      <c r="Q21" s="22"/>
    </row>
    <row r="22" spans="1:17" ht="16.5" thickBot="1" x14ac:dyDescent="0.3">
      <c r="A22" s="22"/>
      <c r="B22" s="26"/>
      <c r="C22" s="26"/>
      <c r="D22" s="26"/>
      <c r="E22" s="22"/>
      <c r="F22" s="22"/>
      <c r="G22" s="22"/>
      <c r="H22" s="22"/>
      <c r="I22" s="22"/>
      <c r="J22" s="26"/>
      <c r="K22" s="26"/>
      <c r="L22" s="22"/>
      <c r="M22" s="22"/>
      <c r="N22" s="22"/>
      <c r="O22" s="22"/>
      <c r="P22" s="22"/>
      <c r="Q22" s="22"/>
    </row>
    <row r="23" spans="1:17" ht="16.5" thickBot="1" x14ac:dyDescent="0.3">
      <c r="A23" s="1" t="s">
        <v>0</v>
      </c>
      <c r="B23" s="6" t="s">
        <v>1</v>
      </c>
      <c r="C23" s="6" t="s">
        <v>2</v>
      </c>
      <c r="D23" s="6" t="s">
        <v>3</v>
      </c>
      <c r="E23" s="22"/>
      <c r="F23" s="22"/>
      <c r="G23" s="22"/>
      <c r="H23" s="22"/>
      <c r="I23" s="22"/>
      <c r="J23" s="26"/>
      <c r="K23" s="26"/>
      <c r="L23" s="22"/>
      <c r="M23" s="22"/>
      <c r="N23" s="22"/>
      <c r="O23" s="22"/>
      <c r="P23" s="22"/>
      <c r="Q23" s="22"/>
    </row>
    <row r="24" spans="1:17" ht="16.5" thickBot="1" x14ac:dyDescent="0.3">
      <c r="A24" s="9" t="s">
        <v>46</v>
      </c>
      <c r="B24" s="14">
        <v>417303</v>
      </c>
      <c r="C24" s="10">
        <v>441008</v>
      </c>
      <c r="D24" s="10">
        <f t="shared" ref="D24:D25" si="6">+B24-C24</f>
        <v>-23705</v>
      </c>
      <c r="E24" s="22"/>
      <c r="F24" s="22"/>
      <c r="G24" s="22"/>
      <c r="H24" s="22"/>
      <c r="I24" s="22"/>
      <c r="J24" s="26"/>
      <c r="K24" s="26"/>
      <c r="L24" s="22"/>
      <c r="M24" s="22"/>
      <c r="N24" s="22"/>
      <c r="O24" s="22"/>
      <c r="P24" s="22"/>
      <c r="Q24" s="22"/>
    </row>
    <row r="25" spans="1:17" ht="16.5" thickBot="1" x14ac:dyDescent="0.3">
      <c r="A25" s="3" t="s">
        <v>47</v>
      </c>
      <c r="B25" s="12">
        <v>-956505</v>
      </c>
      <c r="C25" s="8">
        <v>-812056</v>
      </c>
      <c r="D25" s="8">
        <f t="shared" si="6"/>
        <v>-144449</v>
      </c>
      <c r="E25" s="22"/>
      <c r="F25" s="22"/>
      <c r="G25" s="22"/>
      <c r="H25" s="22"/>
      <c r="I25" s="22"/>
      <c r="J25" s="26"/>
      <c r="K25" s="26"/>
      <c r="L25" s="22"/>
      <c r="M25" s="22"/>
      <c r="N25" s="22"/>
      <c r="O25" s="22"/>
      <c r="P25" s="22"/>
      <c r="Q25" s="22"/>
    </row>
    <row r="26" spans="1:17" ht="16.5" thickBot="1" x14ac:dyDescent="0.3">
      <c r="A26" s="3" t="s">
        <v>23</v>
      </c>
      <c r="B26" s="12">
        <f>SUM(B24:B25)</f>
        <v>-539202</v>
      </c>
      <c r="C26" s="12">
        <f>SUM(C24:C25)</f>
        <v>-371048</v>
      </c>
      <c r="D26" s="8">
        <f t="shared" ref="D26" si="7">+B26-C26</f>
        <v>-168154</v>
      </c>
      <c r="E26" s="22"/>
      <c r="F26" s="22"/>
      <c r="G26" s="22"/>
      <c r="H26" s="22"/>
      <c r="I26" s="22"/>
      <c r="J26" s="26"/>
      <c r="K26" s="26"/>
      <c r="L26" s="22"/>
      <c r="M26" s="22"/>
      <c r="N26" s="22"/>
      <c r="O26" s="22"/>
      <c r="P26" s="22"/>
      <c r="Q26" s="22"/>
    </row>
    <row r="27" spans="1:17" ht="15.75" x14ac:dyDescent="0.25">
      <c r="A27" s="22"/>
      <c r="B27" s="26"/>
      <c r="C27" s="26"/>
      <c r="D27" s="26"/>
      <c r="E27" s="22"/>
      <c r="F27" s="22"/>
      <c r="G27" s="22"/>
      <c r="H27" s="22"/>
      <c r="I27" s="22"/>
      <c r="J27" s="26"/>
      <c r="K27" s="26"/>
      <c r="L27" s="22"/>
      <c r="M27" s="22"/>
      <c r="N27" s="22"/>
      <c r="O27" s="22"/>
      <c r="P27" s="22"/>
      <c r="Q27" s="22"/>
    </row>
    <row r="28" spans="1:17" ht="15.75" x14ac:dyDescent="0.25">
      <c r="A28" s="22" t="s">
        <v>18</v>
      </c>
      <c r="B28" s="26" t="s">
        <v>37</v>
      </c>
      <c r="C28" s="29">
        <v>45029</v>
      </c>
      <c r="D28" s="26"/>
      <c r="E28" s="22"/>
      <c r="F28" s="22"/>
      <c r="G28" s="22"/>
      <c r="H28" s="22"/>
      <c r="I28" s="22"/>
      <c r="J28" s="26"/>
      <c r="K28" s="26"/>
      <c r="L28" s="22"/>
      <c r="M28" s="22"/>
      <c r="N28" s="22"/>
      <c r="O28" s="22"/>
      <c r="P28" s="22"/>
      <c r="Q28" s="22"/>
    </row>
    <row r="29" spans="1:17" ht="15.75" x14ac:dyDescent="0.25">
      <c r="A29" s="22"/>
      <c r="B29" s="26"/>
      <c r="C29" s="26"/>
      <c r="D29" s="26"/>
      <c r="E29" s="22"/>
      <c r="F29" s="22"/>
      <c r="G29" s="22"/>
      <c r="H29" s="22"/>
      <c r="I29" s="22"/>
      <c r="J29" s="26"/>
      <c r="K29" s="26"/>
      <c r="L29" s="22"/>
      <c r="M29" s="22"/>
      <c r="N29" s="22"/>
      <c r="O29" s="22"/>
      <c r="P29" s="22"/>
      <c r="Q29" s="22"/>
    </row>
    <row r="30" spans="1:17" ht="15.75" x14ac:dyDescent="0.25">
      <c r="A30" s="22"/>
      <c r="B30" s="26"/>
      <c r="C30" s="26"/>
      <c r="D30" s="26"/>
      <c r="E30" s="22" t="s">
        <v>33</v>
      </c>
      <c r="F30" s="22"/>
      <c r="G30" s="22" t="s">
        <v>32</v>
      </c>
      <c r="H30" s="22"/>
      <c r="I30" s="22"/>
      <c r="J30" s="22">
        <v>44576</v>
      </c>
      <c r="K30" s="22">
        <v>45029</v>
      </c>
      <c r="L30" s="22"/>
      <c r="M30" s="22"/>
      <c r="N30" s="22"/>
      <c r="O30" s="22"/>
      <c r="P30" s="22"/>
      <c r="Q30" s="22"/>
    </row>
    <row r="31" spans="1:17" ht="16.5" thickBot="1" x14ac:dyDescent="0.3">
      <c r="A31" s="22"/>
      <c r="B31" s="26"/>
      <c r="C31" s="26"/>
      <c r="D31" s="26"/>
      <c r="E31" s="30"/>
      <c r="F31" s="22"/>
      <c r="G31" s="22"/>
      <c r="H31" s="22"/>
      <c r="I31" s="22"/>
      <c r="J31" s="26"/>
      <c r="K31" s="26"/>
      <c r="L31" s="22"/>
      <c r="M31" s="22"/>
      <c r="N31" s="22"/>
      <c r="O31" s="22"/>
      <c r="P31" s="22"/>
      <c r="Q31" s="22"/>
    </row>
    <row r="32" spans="1:17" ht="16.5" thickBot="1" x14ac:dyDescent="0.3">
      <c r="A32" s="1" t="s">
        <v>0</v>
      </c>
      <c r="B32" s="6" t="s">
        <v>14</v>
      </c>
      <c r="C32" s="6" t="s">
        <v>2</v>
      </c>
      <c r="D32" s="17" t="s">
        <v>3</v>
      </c>
      <c r="E32" s="19" t="s">
        <v>43</v>
      </c>
      <c r="F32" s="22"/>
      <c r="G32" s="22"/>
      <c r="H32" s="22"/>
      <c r="I32" s="22"/>
      <c r="J32" s="15" t="s">
        <v>2</v>
      </c>
      <c r="K32" s="6" t="s">
        <v>2</v>
      </c>
      <c r="L32" s="22"/>
      <c r="M32" s="22"/>
      <c r="N32" s="22"/>
      <c r="O32" s="22"/>
      <c r="P32" s="22"/>
      <c r="Q32" s="22"/>
    </row>
    <row r="33" spans="1:17" ht="16.5" thickBot="1" x14ac:dyDescent="0.3">
      <c r="A33" s="3" t="s">
        <v>20</v>
      </c>
      <c r="B33" s="12">
        <v>2833558</v>
      </c>
      <c r="C33" s="8">
        <v>2419000</v>
      </c>
      <c r="D33" s="18">
        <f>+B33-C33</f>
        <v>414558</v>
      </c>
      <c r="E33" s="20">
        <f>+D33/D42</f>
        <v>8.6234921400949807E-2</v>
      </c>
      <c r="F33" s="22"/>
      <c r="G33" s="27">
        <f>+D33/C33</f>
        <v>0.17137577511368335</v>
      </c>
      <c r="H33" s="22"/>
      <c r="I33" s="22"/>
      <c r="J33" s="16">
        <v>2365000</v>
      </c>
      <c r="K33" s="8">
        <v>2419000</v>
      </c>
      <c r="L33" s="22"/>
      <c r="M33" s="22"/>
      <c r="N33" s="22"/>
      <c r="O33" s="22"/>
      <c r="P33" s="22"/>
      <c r="Q33" s="22"/>
    </row>
    <row r="34" spans="1:17" ht="16.5" thickBot="1" x14ac:dyDescent="0.3">
      <c r="A34" s="3" t="s">
        <v>21</v>
      </c>
      <c r="B34" s="12">
        <v>2287525</v>
      </c>
      <c r="C34" s="8">
        <v>2116000</v>
      </c>
      <c r="D34" s="18">
        <f t="shared" ref="D34:D41" si="8">+B34-C34</f>
        <v>171525</v>
      </c>
      <c r="E34" s="20">
        <f>+D34/D42</f>
        <v>3.5680037276564235E-2</v>
      </c>
      <c r="F34" s="22"/>
      <c r="G34" s="27">
        <f t="shared" ref="G34:G44" si="9">+D34/C34</f>
        <v>8.1060964083175799E-2</v>
      </c>
      <c r="H34" s="22"/>
      <c r="I34" s="22"/>
      <c r="J34" s="16">
        <v>2451000</v>
      </c>
      <c r="K34" s="8">
        <v>2116000</v>
      </c>
      <c r="L34" s="22"/>
      <c r="M34" s="22"/>
      <c r="N34" s="22"/>
      <c r="O34" s="22"/>
      <c r="P34" s="22"/>
      <c r="Q34" s="22"/>
    </row>
    <row r="35" spans="1:17" ht="16.5" thickBot="1" x14ac:dyDescent="0.3">
      <c r="A35" s="3" t="s">
        <v>22</v>
      </c>
      <c r="B35" s="12">
        <v>49804</v>
      </c>
      <c r="C35" s="8">
        <v>78000</v>
      </c>
      <c r="D35" s="18">
        <f t="shared" si="8"/>
        <v>-28196</v>
      </c>
      <c r="E35" s="20">
        <f>+D35/D42</f>
        <v>-5.8652344034397612E-3</v>
      </c>
      <c r="F35" s="22"/>
      <c r="G35" s="27">
        <f t="shared" si="9"/>
        <v>-0.36148717948717951</v>
      </c>
      <c r="H35" s="22"/>
      <c r="I35" s="22"/>
      <c r="J35" s="16">
        <v>76000</v>
      </c>
      <c r="K35" s="8">
        <v>78000</v>
      </c>
      <c r="L35" s="22"/>
      <c r="M35" s="22"/>
      <c r="N35" s="22" t="s">
        <v>44</v>
      </c>
      <c r="O35" s="23">
        <f>ROUND(412815,-3)</f>
        <v>413000</v>
      </c>
      <c r="P35" s="23">
        <v>482000</v>
      </c>
      <c r="Q35" s="22"/>
    </row>
    <row r="36" spans="1:17" ht="16.5" thickBot="1" x14ac:dyDescent="0.3">
      <c r="A36" s="3" t="s">
        <v>19</v>
      </c>
      <c r="B36" s="12">
        <v>2685979</v>
      </c>
      <c r="C36" s="8">
        <v>2418000</v>
      </c>
      <c r="D36" s="18">
        <f t="shared" si="8"/>
        <v>267979</v>
      </c>
      <c r="E36" s="20">
        <f>+D36/D42</f>
        <v>5.5744064768030351E-2</v>
      </c>
      <c r="F36" s="22"/>
      <c r="G36" s="27">
        <f t="shared" si="9"/>
        <v>0.11082671629445823</v>
      </c>
      <c r="H36" s="22"/>
      <c r="I36" s="22"/>
      <c r="J36" s="16">
        <v>3566000</v>
      </c>
      <c r="K36" s="8">
        <v>2418000</v>
      </c>
      <c r="L36" s="22"/>
      <c r="M36" s="22"/>
      <c r="N36" s="22" t="s">
        <v>45</v>
      </c>
      <c r="O36" s="23">
        <f>ROUND(-918030,-3)</f>
        <v>-918000</v>
      </c>
      <c r="P36" s="23">
        <v>-657000</v>
      </c>
      <c r="Q36" s="22"/>
    </row>
    <row r="37" spans="1:17" ht="16.5" thickBot="1" x14ac:dyDescent="0.3">
      <c r="A37" s="3" t="s">
        <v>23</v>
      </c>
      <c r="B37" s="12">
        <v>479523</v>
      </c>
      <c r="C37" s="8">
        <v>-175000</v>
      </c>
      <c r="D37" s="18">
        <f t="shared" si="8"/>
        <v>654523</v>
      </c>
      <c r="E37" s="20">
        <f>+D37/D42</f>
        <v>0.13615161077608892</v>
      </c>
      <c r="F37" s="22"/>
      <c r="G37" s="27">
        <f t="shared" si="9"/>
        <v>-3.7401314285714284</v>
      </c>
      <c r="H37" s="22"/>
      <c r="I37" s="22"/>
      <c r="J37" s="16">
        <v>-505000</v>
      </c>
      <c r="K37" s="8">
        <v>-175000</v>
      </c>
      <c r="L37" s="22"/>
      <c r="M37" s="22"/>
      <c r="N37" s="22"/>
      <c r="O37" s="24">
        <f>SUM(O35:O36)</f>
        <v>-505000</v>
      </c>
      <c r="P37" s="24">
        <f>SUM(P35:P36)</f>
        <v>-175000</v>
      </c>
      <c r="Q37" s="22"/>
    </row>
    <row r="38" spans="1:17" ht="16.5" thickBot="1" x14ac:dyDescent="0.3">
      <c r="A38" s="3" t="s">
        <v>24</v>
      </c>
      <c r="B38" s="12">
        <v>78066</v>
      </c>
      <c r="C38" s="8">
        <v>85000</v>
      </c>
      <c r="D38" s="18">
        <f t="shared" si="8"/>
        <v>-6934</v>
      </c>
      <c r="E38" s="20">
        <f>+D38/D42</f>
        <v>-1.4423866985902719E-3</v>
      </c>
      <c r="F38" s="22"/>
      <c r="G38" s="27">
        <f t="shared" si="9"/>
        <v>-8.1576470588235292E-2</v>
      </c>
      <c r="H38" s="22"/>
      <c r="I38" s="22"/>
      <c r="J38" s="16">
        <v>183000</v>
      </c>
      <c r="K38" s="8">
        <v>85000</v>
      </c>
      <c r="L38" s="22"/>
      <c r="M38" s="22"/>
      <c r="N38" s="22"/>
      <c r="O38" s="22"/>
      <c r="P38" s="22"/>
      <c r="Q38" s="22"/>
    </row>
    <row r="39" spans="1:17" ht="16.5" thickBot="1" x14ac:dyDescent="0.3">
      <c r="A39" s="3" t="s">
        <v>27</v>
      </c>
      <c r="B39" s="12">
        <f>24722500+2787500</f>
        <v>27510000</v>
      </c>
      <c r="C39" s="8">
        <v>24158000</v>
      </c>
      <c r="D39" s="18">
        <f t="shared" si="8"/>
        <v>3352000</v>
      </c>
      <c r="E39" s="20">
        <f>+D39/D42</f>
        <v>0.69727144702546751</v>
      </c>
      <c r="F39" s="22"/>
      <c r="G39" s="27">
        <f t="shared" si="9"/>
        <v>0.13875320804702376</v>
      </c>
      <c r="H39" s="22"/>
      <c r="I39" s="22"/>
      <c r="J39" s="16">
        <v>6769000</v>
      </c>
      <c r="K39" s="8">
        <v>24158000</v>
      </c>
      <c r="L39" s="22"/>
      <c r="M39" s="22"/>
      <c r="N39" s="22"/>
      <c r="O39" s="22"/>
      <c r="P39" s="22"/>
      <c r="Q39" s="22"/>
    </row>
    <row r="40" spans="1:17" ht="16.5" thickBot="1" x14ac:dyDescent="0.3">
      <c r="A40" s="3" t="s">
        <v>25</v>
      </c>
      <c r="B40" s="12">
        <v>3269815</v>
      </c>
      <c r="C40" s="8">
        <v>3325000</v>
      </c>
      <c r="D40" s="18">
        <f t="shared" si="8"/>
        <v>-55185</v>
      </c>
      <c r="E40" s="20">
        <f>+D40/D42</f>
        <v>-1.1479392841318742E-2</v>
      </c>
      <c r="F40" s="22"/>
      <c r="G40" s="27">
        <f t="shared" si="9"/>
        <v>-1.6596992481203006E-2</v>
      </c>
      <c r="H40" s="22"/>
      <c r="I40" s="22"/>
      <c r="J40" s="16">
        <v>3514000</v>
      </c>
      <c r="K40" s="8">
        <v>3325000</v>
      </c>
      <c r="L40" s="22"/>
      <c r="M40" s="22"/>
      <c r="N40" s="22"/>
      <c r="O40" s="22"/>
      <c r="P40" s="22"/>
      <c r="Q40" s="22"/>
    </row>
    <row r="41" spans="1:17" ht="16.5" thickBot="1" x14ac:dyDescent="0.3">
      <c r="A41" s="3" t="s">
        <v>26</v>
      </c>
      <c r="B41" s="12">
        <v>1037040</v>
      </c>
      <c r="C41" s="8">
        <v>1000000</v>
      </c>
      <c r="D41" s="18">
        <f t="shared" si="8"/>
        <v>37040</v>
      </c>
      <c r="E41" s="20">
        <f>+D41/D42</f>
        <v>7.7049326962480057E-3</v>
      </c>
      <c r="F41" s="22"/>
      <c r="G41" s="27">
        <f t="shared" si="9"/>
        <v>3.7039999999999997E-2</v>
      </c>
      <c r="H41" s="22"/>
      <c r="I41" s="22"/>
      <c r="J41" s="16">
        <v>939000</v>
      </c>
      <c r="K41" s="8">
        <v>1000000</v>
      </c>
      <c r="L41" s="22"/>
      <c r="M41" s="22"/>
      <c r="N41" s="22"/>
      <c r="O41" s="22"/>
      <c r="P41" s="22"/>
      <c r="Q41" s="22"/>
    </row>
    <row r="42" spans="1:17" ht="16.5" thickBot="1" x14ac:dyDescent="0.3">
      <c r="A42" s="3" t="s">
        <v>39</v>
      </c>
      <c r="B42" s="12">
        <f>SUM(B33:B41)</f>
        <v>40231310</v>
      </c>
      <c r="C42" s="8">
        <f>SUM(C33:C41)</f>
        <v>35424000</v>
      </c>
      <c r="D42" s="18">
        <f>SUM(D33:D41)</f>
        <v>4807310</v>
      </c>
      <c r="E42" s="20">
        <f>SUM(E33:E41)</f>
        <v>1.0000000000000002</v>
      </c>
      <c r="F42" s="22"/>
      <c r="G42" s="27">
        <f>+D42/C42</f>
        <v>0.13570771228545619</v>
      </c>
      <c r="H42" s="22"/>
      <c r="I42" s="22"/>
      <c r="J42" s="16">
        <f>SUM(J33:J41)</f>
        <v>19358000</v>
      </c>
      <c r="K42" s="8">
        <f>SUM(K33:K41)</f>
        <v>35424000</v>
      </c>
      <c r="L42" s="22"/>
      <c r="M42" s="22"/>
      <c r="N42" s="22"/>
      <c r="O42" s="22"/>
      <c r="P42" s="22"/>
      <c r="Q42" s="22"/>
    </row>
    <row r="43" spans="1:17" ht="16.5" thickBot="1" x14ac:dyDescent="0.3">
      <c r="A43" s="22"/>
      <c r="B43" s="28"/>
      <c r="C43" s="26"/>
      <c r="D43" s="26"/>
      <c r="E43" s="22"/>
      <c r="F43" s="22"/>
      <c r="G43" s="22"/>
      <c r="H43" s="22"/>
      <c r="I43" s="22"/>
      <c r="J43" s="26"/>
      <c r="K43" s="26"/>
      <c r="L43" s="22"/>
      <c r="M43" s="22"/>
      <c r="N43" s="22"/>
      <c r="O43" s="22"/>
      <c r="P43" s="22"/>
      <c r="Q43" s="22"/>
    </row>
    <row r="44" spans="1:17" ht="16.5" thickBot="1" x14ac:dyDescent="0.3">
      <c r="A44" s="9" t="s">
        <v>28</v>
      </c>
      <c r="B44" s="14">
        <v>5947086</v>
      </c>
      <c r="C44" s="11">
        <v>4645000</v>
      </c>
      <c r="D44" s="10">
        <f t="shared" ref="D44" si="10">+B44-C44</f>
        <v>1302086</v>
      </c>
      <c r="E44" s="22" t="s">
        <v>48</v>
      </c>
      <c r="F44" s="22"/>
      <c r="G44" s="27">
        <f t="shared" si="9"/>
        <v>0.28031991388589883</v>
      </c>
      <c r="H44" s="22"/>
      <c r="I44" s="22"/>
      <c r="J44" s="11">
        <v>5130000</v>
      </c>
      <c r="K44" s="11">
        <v>4645000</v>
      </c>
      <c r="L44" s="22"/>
      <c r="M44" s="22"/>
      <c r="N44" s="22"/>
      <c r="O44" s="22"/>
      <c r="P44" s="22"/>
      <c r="Q44" s="22"/>
    </row>
    <row r="45" spans="1:17" ht="16.5" thickBot="1" x14ac:dyDescent="0.3">
      <c r="A45" s="9" t="s">
        <v>29</v>
      </c>
      <c r="B45" s="14">
        <v>5859039</v>
      </c>
      <c r="C45" s="11">
        <v>4645000</v>
      </c>
      <c r="D45" s="10">
        <f t="shared" ref="D45" si="11">+B45-C45</f>
        <v>1214039</v>
      </c>
      <c r="E45" s="22" t="s">
        <v>48</v>
      </c>
      <c r="F45" s="22"/>
      <c r="G45" s="22"/>
      <c r="H45" s="22"/>
      <c r="I45" s="22"/>
      <c r="J45" s="11">
        <v>5130000</v>
      </c>
      <c r="K45" s="11">
        <v>4645000</v>
      </c>
      <c r="L45" s="22"/>
      <c r="M45" s="22"/>
      <c r="N45" s="22"/>
      <c r="O45" s="22"/>
      <c r="P45" s="22"/>
      <c r="Q45" s="22"/>
    </row>
    <row r="46" spans="1:17" ht="15.75" thickBot="1" x14ac:dyDescent="0.3"/>
    <row r="47" spans="1:17" ht="16.5" thickBot="1" x14ac:dyDescent="0.3">
      <c r="A47" s="1" t="s">
        <v>0</v>
      </c>
      <c r="B47" s="6" t="s">
        <v>14</v>
      </c>
      <c r="C47" s="6" t="s">
        <v>2</v>
      </c>
      <c r="D47" s="6" t="s">
        <v>3</v>
      </c>
    </row>
    <row r="48" spans="1:17" ht="16.5" thickBot="1" x14ac:dyDescent="0.3">
      <c r="A48" s="9" t="s">
        <v>46</v>
      </c>
      <c r="B48" s="14">
        <v>479523</v>
      </c>
      <c r="C48" s="10">
        <v>482000</v>
      </c>
      <c r="D48" s="10">
        <f t="shared" ref="D48:D50" si="12">+B48-C48</f>
        <v>-2477</v>
      </c>
    </row>
    <row r="49" spans="1:4" ht="16.5" thickBot="1" x14ac:dyDescent="0.3">
      <c r="A49" s="3" t="s">
        <v>47</v>
      </c>
      <c r="B49" s="12">
        <v>-989250</v>
      </c>
      <c r="C49" s="8">
        <v>-657000</v>
      </c>
      <c r="D49" s="8">
        <f t="shared" si="12"/>
        <v>-332250</v>
      </c>
    </row>
    <row r="50" spans="1:4" ht="16.5" thickBot="1" x14ac:dyDescent="0.3">
      <c r="A50" s="3" t="s">
        <v>23</v>
      </c>
      <c r="B50" s="12">
        <f>SUM(B48:B49)</f>
        <v>-509727</v>
      </c>
      <c r="C50" s="12">
        <f>SUM(C48:C49)</f>
        <v>-175000</v>
      </c>
      <c r="D50" s="8">
        <f t="shared" si="12"/>
        <v>-334727</v>
      </c>
    </row>
  </sheetData>
  <pageMargins left="0.7" right="0.7" top="0.75" bottom="0.75" header="0.3" footer="0.3"/>
  <pageSetup scale="49" orientation="landscape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zoomScaleNormal="100" workbookViewId="0">
      <selection activeCell="C36" sqref="C36"/>
    </sheetView>
  </sheetViews>
  <sheetFormatPr defaultRowHeight="15" x14ac:dyDescent="0.25"/>
  <cols>
    <col min="1" max="1" width="52.42578125" customWidth="1"/>
    <col min="2" max="4" width="16.7109375" customWidth="1"/>
    <col min="5" max="5" width="10.140625" bestFit="1" customWidth="1"/>
  </cols>
  <sheetData>
    <row r="1" spans="1:7" ht="15.75" x14ac:dyDescent="0.25">
      <c r="A1" s="22" t="s">
        <v>49</v>
      </c>
    </row>
    <row r="2" spans="1:7" ht="15.75" x14ac:dyDescent="0.25">
      <c r="A2" s="22" t="s">
        <v>54</v>
      </c>
    </row>
    <row r="4" spans="1:7" x14ac:dyDescent="0.25">
      <c r="A4" t="s">
        <v>17</v>
      </c>
      <c r="B4" t="s">
        <v>55</v>
      </c>
    </row>
    <row r="6" spans="1:7" x14ac:dyDescent="0.25">
      <c r="G6" t="s">
        <v>32</v>
      </c>
    </row>
    <row r="7" spans="1:7" ht="15.75" thickBot="1" x14ac:dyDescent="0.3">
      <c r="B7" s="5"/>
      <c r="C7" s="5"/>
      <c r="D7" s="5"/>
    </row>
    <row r="8" spans="1:7" ht="16.5" thickBot="1" x14ac:dyDescent="0.3">
      <c r="A8" s="1" t="s">
        <v>0</v>
      </c>
      <c r="B8" s="6" t="s">
        <v>1</v>
      </c>
      <c r="C8" s="6" t="s">
        <v>2</v>
      </c>
      <c r="D8" s="6" t="s">
        <v>3</v>
      </c>
      <c r="E8" s="6" t="s">
        <v>43</v>
      </c>
    </row>
    <row r="9" spans="1:7" ht="16.5" thickBot="1" x14ac:dyDescent="0.3">
      <c r="A9" s="3" t="s">
        <v>57</v>
      </c>
      <c r="B9" s="8">
        <v>2552581.4540000004</v>
      </c>
      <c r="C9" s="8">
        <v>2419000</v>
      </c>
      <c r="D9" s="8">
        <f t="shared" ref="D9:D17" si="0">+B9-C9</f>
        <v>133581.45400000038</v>
      </c>
      <c r="E9" s="33"/>
      <c r="G9" s="7">
        <f>+D9/C9</f>
        <v>5.522176684580421E-2</v>
      </c>
    </row>
    <row r="10" spans="1:7" ht="16.5" thickBot="1" x14ac:dyDescent="0.3">
      <c r="A10" s="3" t="s">
        <v>58</v>
      </c>
      <c r="B10" s="8">
        <v>2635604.6399999997</v>
      </c>
      <c r="C10" s="8">
        <v>2116000</v>
      </c>
      <c r="D10" s="8">
        <f t="shared" si="0"/>
        <v>519604.63999999966</v>
      </c>
      <c r="E10" s="33"/>
      <c r="G10" s="7">
        <f t="shared" ref="G10:G18" si="1">+D10/C10</f>
        <v>0.24555984877126638</v>
      </c>
    </row>
    <row r="11" spans="1:7" ht="16.5" thickBot="1" x14ac:dyDescent="0.3">
      <c r="A11" s="3" t="s">
        <v>59</v>
      </c>
      <c r="B11" s="8">
        <v>74833.600000000006</v>
      </c>
      <c r="C11" s="8">
        <v>78000</v>
      </c>
      <c r="D11" s="8">
        <f t="shared" si="0"/>
        <v>-3166.3999999999942</v>
      </c>
      <c r="E11" s="33"/>
      <c r="G11" s="7">
        <f t="shared" si="1"/>
        <v>-4.0594871794871722E-2</v>
      </c>
    </row>
    <row r="12" spans="1:7" ht="16.5" thickBot="1" x14ac:dyDescent="0.3">
      <c r="A12" s="3" t="s">
        <v>7</v>
      </c>
      <c r="B12" s="8">
        <v>1576414.5799999991</v>
      </c>
      <c r="C12" s="8">
        <v>2418000</v>
      </c>
      <c r="D12" s="8">
        <f t="shared" si="0"/>
        <v>-841585.42000000086</v>
      </c>
      <c r="E12" s="33"/>
      <c r="G12" s="7">
        <f t="shared" si="1"/>
        <v>-0.34805021505376382</v>
      </c>
    </row>
    <row r="13" spans="1:7" ht="16.5" thickBot="1" x14ac:dyDescent="0.3">
      <c r="A13" s="3" t="s">
        <v>60</v>
      </c>
      <c r="B13" s="8">
        <v>770438</v>
      </c>
      <c r="C13" s="8">
        <v>-175000</v>
      </c>
      <c r="D13" s="8">
        <f t="shared" si="0"/>
        <v>945438</v>
      </c>
      <c r="E13" s="33"/>
      <c r="G13" s="7">
        <f t="shared" si="1"/>
        <v>-5.4025028571428573</v>
      </c>
    </row>
    <row r="14" spans="1:7" ht="16.5" thickBot="1" x14ac:dyDescent="0.3">
      <c r="A14" s="3" t="s">
        <v>9</v>
      </c>
      <c r="B14" s="8">
        <v>15659.419999999998</v>
      </c>
      <c r="C14" s="8">
        <v>85000</v>
      </c>
      <c r="D14" s="8">
        <f t="shared" si="0"/>
        <v>-69340.58</v>
      </c>
      <c r="E14" s="33"/>
      <c r="G14" s="7">
        <f t="shared" si="1"/>
        <v>-0.81577152941176467</v>
      </c>
    </row>
    <row r="15" spans="1:7" ht="16.5" thickBot="1" x14ac:dyDescent="0.3">
      <c r="A15" s="3" t="s">
        <v>61</v>
      </c>
      <c r="B15" s="8">
        <v>23471256.910000008</v>
      </c>
      <c r="C15" s="8">
        <v>24158000</v>
      </c>
      <c r="D15" s="8">
        <f t="shared" si="0"/>
        <v>-686743.0899999924</v>
      </c>
      <c r="E15" s="33"/>
      <c r="G15" s="7">
        <f t="shared" si="1"/>
        <v>-2.8427150012417933E-2</v>
      </c>
    </row>
    <row r="16" spans="1:7" ht="16.5" thickBot="1" x14ac:dyDescent="0.3">
      <c r="A16" s="3" t="s">
        <v>62</v>
      </c>
      <c r="B16" s="8">
        <v>3233203.47</v>
      </c>
      <c r="C16" s="8">
        <v>3325000</v>
      </c>
      <c r="D16" s="8">
        <f t="shared" si="0"/>
        <v>-91796.529999999795</v>
      </c>
      <c r="E16" s="33"/>
      <c r="G16" s="7">
        <f t="shared" si="1"/>
        <v>-2.7607978947368359E-2</v>
      </c>
    </row>
    <row r="17" spans="1:17" ht="16.5" thickBot="1" x14ac:dyDescent="0.3">
      <c r="A17" s="3" t="s">
        <v>12</v>
      </c>
      <c r="B17" s="8">
        <v>1133092.4800000002</v>
      </c>
      <c r="C17" s="8">
        <v>1000000</v>
      </c>
      <c r="D17" s="8">
        <f t="shared" si="0"/>
        <v>133092.48000000021</v>
      </c>
      <c r="E17" s="33"/>
      <c r="G17" s="7">
        <f t="shared" si="1"/>
        <v>0.13309248000000021</v>
      </c>
    </row>
    <row r="18" spans="1:17" ht="16.5" thickBot="1" x14ac:dyDescent="0.3">
      <c r="A18" s="40" t="s">
        <v>67</v>
      </c>
      <c r="B18" s="12">
        <f>SUM(B9:B17)</f>
        <v>35463084.554000005</v>
      </c>
      <c r="C18" s="12">
        <f>SUM(C9:C17)</f>
        <v>35424000</v>
      </c>
      <c r="D18" s="12">
        <f>SUM(D9:D17)</f>
        <v>39084.554000007221</v>
      </c>
      <c r="E18" s="33"/>
      <c r="G18" s="7">
        <f t="shared" si="1"/>
        <v>1.1033354223127603E-3</v>
      </c>
    </row>
    <row r="19" spans="1:17" ht="15.75" thickBot="1" x14ac:dyDescent="0.3">
      <c r="B19" s="5"/>
      <c r="C19" s="5"/>
      <c r="D19" s="5"/>
    </row>
    <row r="20" spans="1:17" ht="16.5" thickBot="1" x14ac:dyDescent="0.3">
      <c r="A20" s="9" t="s">
        <v>63</v>
      </c>
      <c r="B20" s="10">
        <v>1312802</v>
      </c>
      <c r="C20" s="10">
        <v>0</v>
      </c>
      <c r="D20" s="10">
        <f>+C20-B20</f>
        <v>-1312802</v>
      </c>
      <c r="E20" s="34"/>
      <c r="F20" s="22"/>
      <c r="G20" s="22"/>
      <c r="H20" s="22"/>
      <c r="I20" s="22"/>
      <c r="J20" s="26"/>
      <c r="K20" s="26"/>
      <c r="L20" s="22"/>
      <c r="M20" s="22"/>
      <c r="N20" s="22"/>
      <c r="O20" s="22"/>
      <c r="P20" s="22"/>
      <c r="Q20" s="22"/>
    </row>
    <row r="21" spans="1:17" ht="16.5" thickBot="1" x14ac:dyDescent="0.3">
      <c r="A21" s="9" t="s">
        <v>64</v>
      </c>
      <c r="B21" s="10">
        <v>5193505</v>
      </c>
      <c r="C21" s="10">
        <v>4645000</v>
      </c>
      <c r="D21" s="10">
        <f>+C21-B21</f>
        <v>-548505</v>
      </c>
      <c r="E21" s="34"/>
      <c r="G21" s="7">
        <f>+D21/C21</f>
        <v>-0.11808503767491926</v>
      </c>
    </row>
    <row r="22" spans="1:17" ht="16.5" thickBot="1" x14ac:dyDescent="0.3">
      <c r="A22" s="9" t="s">
        <v>71</v>
      </c>
      <c r="B22" s="10">
        <f>SUM(B20:B21)</f>
        <v>6506307</v>
      </c>
      <c r="C22" s="10">
        <f t="shared" ref="C22:D22" si="2">SUM(C20:C21)</f>
        <v>4645000</v>
      </c>
      <c r="D22" s="10">
        <f t="shared" si="2"/>
        <v>-1861307</v>
      </c>
      <c r="E22" s="34"/>
      <c r="G22" s="7"/>
    </row>
    <row r="23" spans="1:17" ht="16.5" thickBot="1" x14ac:dyDescent="0.3">
      <c r="A23" s="35"/>
      <c r="B23" s="36"/>
      <c r="C23" s="36"/>
      <c r="D23" s="36"/>
      <c r="E23" s="37"/>
      <c r="G23" s="7"/>
    </row>
    <row r="24" spans="1:17" ht="16.5" thickBot="1" x14ac:dyDescent="0.3">
      <c r="A24" s="9" t="s">
        <v>72</v>
      </c>
      <c r="B24" s="10">
        <f>+B18-B21-B20</f>
        <v>28956777.554000005</v>
      </c>
      <c r="C24" s="10">
        <f>+C18-C21-C20</f>
        <v>30779000</v>
      </c>
      <c r="D24" s="10">
        <f>SUM(D18:D21)</f>
        <v>-1822222.4459999928</v>
      </c>
      <c r="E24" s="34"/>
      <c r="G24" s="7">
        <f>+D24/C24</f>
        <v>-5.9203432405211108E-2</v>
      </c>
    </row>
    <row r="25" spans="1:17" x14ac:dyDescent="0.25">
      <c r="B25" s="5"/>
      <c r="C25" s="5"/>
      <c r="D25" s="5"/>
    </row>
    <row r="26" spans="1:17" x14ac:dyDescent="0.25">
      <c r="D26" s="5"/>
    </row>
    <row r="27" spans="1:17" x14ac:dyDescent="0.25">
      <c r="B27" s="5"/>
      <c r="C27" s="5"/>
      <c r="D27" s="5"/>
    </row>
    <row r="28" spans="1:17" x14ac:dyDescent="0.25">
      <c r="B28" s="5"/>
      <c r="C28" s="5"/>
      <c r="D28" s="5"/>
    </row>
    <row r="29" spans="1:17" x14ac:dyDescent="0.25">
      <c r="A29" t="s">
        <v>18</v>
      </c>
      <c r="B29" s="5" t="s">
        <v>56</v>
      </c>
      <c r="C29" s="5"/>
      <c r="D29" s="5"/>
    </row>
    <row r="30" spans="1:17" x14ac:dyDescent="0.25">
      <c r="B30" s="5"/>
      <c r="C30" s="5"/>
      <c r="D30" s="5"/>
    </row>
    <row r="31" spans="1:17" x14ac:dyDescent="0.25">
      <c r="B31" s="5"/>
      <c r="C31" s="5"/>
      <c r="D31" s="5"/>
      <c r="E31" t="s">
        <v>33</v>
      </c>
      <c r="G31" t="s">
        <v>32</v>
      </c>
    </row>
    <row r="32" spans="1:17" ht="15.75" thickBot="1" x14ac:dyDescent="0.3">
      <c r="B32" s="5"/>
      <c r="C32" s="5"/>
      <c r="D32" s="5"/>
    </row>
    <row r="33" spans="1:7" ht="16.5" thickBot="1" x14ac:dyDescent="0.3">
      <c r="A33" s="1" t="s">
        <v>0</v>
      </c>
      <c r="B33" s="6" t="s">
        <v>14</v>
      </c>
      <c r="C33" s="6" t="s">
        <v>2</v>
      </c>
      <c r="D33" s="6" t="s">
        <v>3</v>
      </c>
      <c r="E33" s="6" t="s">
        <v>43</v>
      </c>
    </row>
    <row r="34" spans="1:7" ht="16.5" thickBot="1" x14ac:dyDescent="0.3">
      <c r="A34" s="3" t="s">
        <v>57</v>
      </c>
      <c r="B34" s="12">
        <v>2882725.027499998</v>
      </c>
      <c r="C34" s="8">
        <v>2419000</v>
      </c>
      <c r="D34" s="8">
        <f>+B34-C34</f>
        <v>463725.02749999799</v>
      </c>
      <c r="E34" s="31">
        <f>+D34/D43</f>
        <v>0.14670720984891009</v>
      </c>
      <c r="G34" s="7">
        <f>+D34/C34</f>
        <v>0.19170112753203719</v>
      </c>
    </row>
    <row r="35" spans="1:7" ht="16.5" thickBot="1" x14ac:dyDescent="0.3">
      <c r="A35" s="3" t="s">
        <v>58</v>
      </c>
      <c r="B35" s="12">
        <v>2483067.1949999989</v>
      </c>
      <c r="C35" s="8">
        <v>2116000</v>
      </c>
      <c r="D35" s="8">
        <f t="shared" ref="D35:D42" si="3">+B35-C35</f>
        <v>367067.1949999989</v>
      </c>
      <c r="E35" s="31">
        <f>+D35/D43</f>
        <v>0.11612787926464864</v>
      </c>
      <c r="G35" s="7">
        <f t="shared" ref="G35:G46" si="4">+D35/C35</f>
        <v>0.17347220935727736</v>
      </c>
    </row>
    <row r="36" spans="1:7" ht="16.5" thickBot="1" x14ac:dyDescent="0.3">
      <c r="A36" s="3" t="s">
        <v>59</v>
      </c>
      <c r="B36" s="12">
        <v>48805.279999999984</v>
      </c>
      <c r="C36" s="8">
        <v>78000</v>
      </c>
      <c r="D36" s="8">
        <f t="shared" si="3"/>
        <v>-29194.720000000016</v>
      </c>
      <c r="E36" s="31">
        <f>+D36/D43</f>
        <v>-9.2362405725884469E-3</v>
      </c>
      <c r="G36" s="7">
        <f t="shared" si="4"/>
        <v>-0.37429128205128226</v>
      </c>
    </row>
    <row r="37" spans="1:7" ht="16.5" thickBot="1" x14ac:dyDescent="0.3">
      <c r="A37" s="3" t="s">
        <v>7</v>
      </c>
      <c r="B37" s="12">
        <v>1999154.8494352503</v>
      </c>
      <c r="C37" s="8">
        <v>2418000</v>
      </c>
      <c r="D37" s="8">
        <f t="shared" si="3"/>
        <v>-418845.15056474973</v>
      </c>
      <c r="E37" s="31">
        <f>+D37/D43</f>
        <v>-0.13250870613857765</v>
      </c>
      <c r="G37" s="7">
        <f t="shared" si="4"/>
        <v>-0.17321966524596763</v>
      </c>
    </row>
    <row r="38" spans="1:7" ht="16.5" thickBot="1" x14ac:dyDescent="0.3">
      <c r="A38" s="3" t="s">
        <v>65</v>
      </c>
      <c r="B38" s="12">
        <v>429921.9049999998</v>
      </c>
      <c r="C38" s="8">
        <v>-175000</v>
      </c>
      <c r="D38" s="8">
        <f t="shared" si="3"/>
        <v>604921.9049999998</v>
      </c>
      <c r="E38" s="31">
        <f>+D38/D43</f>
        <v>0.19137721622980078</v>
      </c>
      <c r="G38" s="7">
        <f t="shared" si="4"/>
        <v>-3.456696599999999</v>
      </c>
    </row>
    <row r="39" spans="1:7" ht="16.5" thickBot="1" x14ac:dyDescent="0.3">
      <c r="A39" s="3" t="s">
        <v>9</v>
      </c>
      <c r="B39" s="12">
        <v>74042.174999999988</v>
      </c>
      <c r="C39" s="8">
        <v>85000</v>
      </c>
      <c r="D39" s="8">
        <f t="shared" si="3"/>
        <v>-10957.825000000012</v>
      </c>
      <c r="E39" s="31">
        <f>+D39/D43</f>
        <v>-3.4666921913388466E-3</v>
      </c>
      <c r="G39" s="7">
        <f t="shared" si="4"/>
        <v>-0.12891558823529425</v>
      </c>
    </row>
    <row r="40" spans="1:7" ht="16.5" thickBot="1" x14ac:dyDescent="0.3">
      <c r="A40" s="3" t="s">
        <v>61</v>
      </c>
      <c r="B40" s="12">
        <v>26335000</v>
      </c>
      <c r="C40" s="8">
        <v>24158000</v>
      </c>
      <c r="D40" s="8">
        <f t="shared" si="3"/>
        <v>2177000</v>
      </c>
      <c r="E40" s="31">
        <f>+D40/D43</f>
        <v>0.68873055561159813</v>
      </c>
      <c r="G40" s="7">
        <f t="shared" si="4"/>
        <v>9.0115075751303911E-2</v>
      </c>
    </row>
    <row r="41" spans="1:7" ht="16.5" thickBot="1" x14ac:dyDescent="0.3">
      <c r="A41" s="3" t="s">
        <v>62</v>
      </c>
      <c r="B41" s="12">
        <v>3256671.2216666648</v>
      </c>
      <c r="C41" s="8">
        <v>3325000</v>
      </c>
      <c r="D41" s="8">
        <f t="shared" si="3"/>
        <v>-68328.778333335184</v>
      </c>
      <c r="E41" s="31">
        <f>+D41/D43</f>
        <v>-2.1616957953964022E-2</v>
      </c>
      <c r="G41" s="7">
        <f t="shared" si="4"/>
        <v>-2.0550008521303814E-2</v>
      </c>
    </row>
    <row r="42" spans="1:7" ht="16.5" thickBot="1" x14ac:dyDescent="0.3">
      <c r="A42" s="3" t="s">
        <v>12</v>
      </c>
      <c r="B42" s="12">
        <v>1075500.1308333334</v>
      </c>
      <c r="C42" s="8">
        <v>1000000</v>
      </c>
      <c r="D42" s="8">
        <f t="shared" si="3"/>
        <v>75500.130833333358</v>
      </c>
      <c r="E42" s="31">
        <f>+D42/D43</f>
        <v>2.388573590151127E-2</v>
      </c>
      <c r="G42" s="7">
        <f t="shared" si="4"/>
        <v>7.5500130833333359E-2</v>
      </c>
    </row>
    <row r="43" spans="1:7" ht="16.5" thickBot="1" x14ac:dyDescent="0.3">
      <c r="A43" s="3" t="s">
        <v>69</v>
      </c>
      <c r="B43" s="12">
        <f>SUM(B34:B42)</f>
        <v>38584887.784435242</v>
      </c>
      <c r="C43" s="8">
        <f>SUM(C34:C42)</f>
        <v>35424000</v>
      </c>
      <c r="D43" s="8">
        <f>SUM(D34:D42)</f>
        <v>3160887.7844352452</v>
      </c>
      <c r="E43" s="31">
        <f>SUM(E34:E42)</f>
        <v>1</v>
      </c>
      <c r="G43" s="7">
        <f t="shared" si="4"/>
        <v>8.9230120382657097E-2</v>
      </c>
    </row>
    <row r="44" spans="1:7" ht="15.75" thickBot="1" x14ac:dyDescent="0.3">
      <c r="B44" s="13"/>
      <c r="C44" s="5"/>
      <c r="D44" s="5"/>
      <c r="E44" s="32"/>
    </row>
    <row r="45" spans="1:7" ht="16.5" thickBot="1" x14ac:dyDescent="0.3">
      <c r="A45" s="9" t="s">
        <v>63</v>
      </c>
      <c r="B45" s="10">
        <v>960115</v>
      </c>
      <c r="C45" s="10">
        <v>0</v>
      </c>
      <c r="D45" s="10">
        <f>+C45-B45</f>
        <v>-960115</v>
      </c>
      <c r="E45" s="37"/>
    </row>
    <row r="46" spans="1:7" ht="16.5" thickBot="1" x14ac:dyDescent="0.3">
      <c r="A46" s="9" t="s">
        <v>64</v>
      </c>
      <c r="B46" s="14">
        <v>4741784</v>
      </c>
      <c r="C46" s="11">
        <v>4645000</v>
      </c>
      <c r="D46" s="10">
        <f>+C46-B46</f>
        <v>-96784</v>
      </c>
      <c r="E46" s="39"/>
      <c r="G46" s="7">
        <f t="shared" si="4"/>
        <v>-2.083616792249731E-2</v>
      </c>
    </row>
    <row r="47" spans="1:7" ht="16.5" thickBot="1" x14ac:dyDescent="0.3">
      <c r="A47" s="9" t="s">
        <v>70</v>
      </c>
      <c r="B47" s="14">
        <f>SUM(B45:B46)</f>
        <v>5701899</v>
      </c>
      <c r="C47" s="11">
        <f>SUM(C45:C46)</f>
        <v>4645000</v>
      </c>
      <c r="D47" s="10">
        <f>SUM(D45:D46)</f>
        <v>-1056899</v>
      </c>
      <c r="E47" s="39"/>
      <c r="G47" s="7"/>
    </row>
    <row r="48" spans="1:7" ht="16.5" thickBot="1" x14ac:dyDescent="0.3">
      <c r="A48" s="35"/>
      <c r="B48" s="38"/>
      <c r="C48" s="36"/>
      <c r="D48" s="36"/>
      <c r="E48" s="39"/>
      <c r="G48" s="7"/>
    </row>
    <row r="49" spans="1:5" ht="16.5" thickBot="1" x14ac:dyDescent="0.3">
      <c r="A49" s="9" t="s">
        <v>68</v>
      </c>
      <c r="B49" s="10">
        <f>+B43-B46-B45</f>
        <v>32882988.784435242</v>
      </c>
      <c r="C49" s="10">
        <f>+C43-C46-C45</f>
        <v>30779000</v>
      </c>
      <c r="D49" s="10">
        <f>SUM(D43:D46)</f>
        <v>2103988.7844352452</v>
      </c>
      <c r="E49" s="37"/>
    </row>
    <row r="50" spans="1:5" ht="7.5" customHeight="1" x14ac:dyDescent="0.25">
      <c r="A50" s="35"/>
      <c r="B50" s="36"/>
      <c r="C50" s="36"/>
      <c r="D50" s="36"/>
      <c r="E50" s="37"/>
    </row>
    <row r="51" spans="1:5" x14ac:dyDescent="0.25">
      <c r="A51" s="41" t="s">
        <v>66</v>
      </c>
      <c r="B51" s="41"/>
      <c r="C51" s="41"/>
    </row>
  </sheetData>
  <mergeCells count="1">
    <mergeCell ref="A51:C51"/>
  </mergeCells>
  <pageMargins left="0.7" right="0.7" top="0.75" bottom="0.75" header="0.3" footer="0.3"/>
  <pageSetup scale="64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5CD37B-B3A3-4F49-A4D0-07591326F35D}"/>
</file>

<file path=customXml/itemProps2.xml><?xml version="1.0" encoding="utf-8"?>
<ds:datastoreItem xmlns:ds="http://schemas.openxmlformats.org/officeDocument/2006/customXml" ds:itemID="{E6B69532-5F9F-430D-AB71-F5775A5BC922}">
  <ds:schemaRefs>
    <ds:schemaRef ds:uri="http://purl.org/dc/dcmitype/"/>
    <ds:schemaRef ds:uri="7558938a-8a22-4524-afb0-58b165029303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99180bc4-2f7d-45e7-9e22-353907fb92c6"/>
    <ds:schemaRef ds:uri="http://schemas.microsoft.com/sharepoint/v3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C286C8C-9B25-42E6-9C28-DDC6D54F71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44808 RTO</vt:lpstr>
      <vt:lpstr>44808 RTO 1</vt:lpstr>
      <vt:lpstr>44808 RTO 2</vt:lpstr>
      <vt:lpstr>44808 RTO 3</vt:lpstr>
      <vt:lpstr>44808 RTO 4</vt:lpstr>
    </vt:vector>
  </TitlesOfParts>
  <Company>Indianapolis Power &amp; Light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Cutshaw</dc:creator>
  <cp:lastModifiedBy>shcoe</cp:lastModifiedBy>
  <cp:lastPrinted>2019-06-25T14:42:02Z</cp:lastPrinted>
  <dcterms:created xsi:type="dcterms:W3CDTF">2017-05-26T19:50:53Z</dcterms:created>
  <dcterms:modified xsi:type="dcterms:W3CDTF">2020-06-30T20:56:18Z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</Properties>
</file>