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ecerra\Desktop\Filings\"/>
    </mc:Choice>
  </mc:AlternateContent>
  <bookViews>
    <workbookView xWindow="0" yWindow="0" windowWidth="23040" windowHeight="9390" tabRatio="717"/>
  </bookViews>
  <sheets>
    <sheet name="Cover" sheetId="10" r:id="rId1"/>
    <sheet name="TOC" sheetId="11" r:id="rId2"/>
    <sheet name="(Ex 1 Pg 1) Deferred Tax" sheetId="5" r:id="rId3"/>
    <sheet name="(Pg 2) Clients TB" sheetId="1" r:id="rId4"/>
    <sheet name="(Pg 3) Fed Depr Report" sheetId="14" r:id="rId5"/>
    <sheet name="(Pg 4) State Depr Report" sheetId="15" r:id="rId6"/>
    <sheet name="(Pg 5) State Def Tax" sheetId="16" r:id="rId7"/>
    <sheet name="(Pg 6) Def Income Tax" sheetId="24" r:id="rId8"/>
    <sheet name="(Ex 2 Pg 1) NAV" sheetId="9" r:id="rId9"/>
    <sheet name="(Ex 2 Pg 2)Book Depr" sheetId="21" r:id="rId10"/>
    <sheet name="(Ex 2 Pg 3)Fed Depr" sheetId="22" r:id="rId11"/>
    <sheet name="(Ex 2 Pg 4) Useful Lives" sheetId="23" r:id="rId12"/>
    <sheet name="Exh 3 Pg 1 Refund" sheetId="31" r:id="rId13"/>
    <sheet name="Before" sheetId="32" r:id="rId14"/>
    <sheet name="After" sheetId="33" r:id="rId15"/>
    <sheet name="Summary" sheetId="25" r:id="rId16"/>
    <sheet name="Refund per Therm" sheetId="26" r:id="rId17"/>
    <sheet name="January" sheetId="27" r:id="rId18"/>
    <sheet name="Feb" sheetId="28" r:id="rId19"/>
    <sheet name="March" sheetId="29" r:id="rId20"/>
    <sheet name="April" sheetId="30" r:id="rId21"/>
  </sheets>
  <definedNames>
    <definedName name="_xlnm.Print_Area" localSheetId="2">'(Ex 1 Pg 1) Deferred Tax'!$A$1:$E$44</definedName>
    <definedName name="_xlnm.Print_Area" localSheetId="8">'(Ex 2 Pg 1) NAV'!$A$1:$L$29</definedName>
    <definedName name="_xlnm.Print_Area" localSheetId="9">'(Ex 2 Pg 2)Book Depr'!$A$1:$G$29</definedName>
    <definedName name="_xlnm.Print_Area" localSheetId="11">'(Ex 2 Pg 4) Useful Lives'!$A$1:$X$1183</definedName>
    <definedName name="_xlnm.Print_Area" localSheetId="3">'(Pg 2) Clients TB'!$A$1:$H$29</definedName>
    <definedName name="_xlnm.Print_Area" localSheetId="4">'(Pg 3) Fed Depr Report'!$A$1:$Q$48</definedName>
    <definedName name="_xlnm.Print_Area" localSheetId="5">'(Pg 4) State Depr Report'!$A$1:$Q$48</definedName>
    <definedName name="_xlnm.Print_Area" localSheetId="6">'(Pg 5) State Def Tax'!$A$1:$D$17</definedName>
    <definedName name="_xlnm.Print_Area" localSheetId="7">'(Pg 6) Def Income Tax'!$A$1:$I$47</definedName>
    <definedName name="_xlnm.Print_Area" localSheetId="14">After!$A$1:$J$64</definedName>
    <definedName name="_xlnm.Print_Area" localSheetId="20">April!$A$1:$S$19</definedName>
    <definedName name="_xlnm.Print_Area" localSheetId="0">Cover!$A$1:$M$22</definedName>
    <definedName name="_xlnm.Print_Area" localSheetId="18">Feb!$A$1:$S$20</definedName>
    <definedName name="_xlnm.Print_Area" localSheetId="17">January!$A$1:$S$19</definedName>
    <definedName name="_xlnm.Print_Area" localSheetId="19">March!$A$1:$S$19</definedName>
    <definedName name="_xlnm.Print_Area" localSheetId="15">Summary!$A$1:$S$20</definedName>
  </definedNames>
  <calcPr calcId="17901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1" l="1"/>
  <c r="H33" i="33"/>
  <c r="H32" i="33"/>
  <c r="H35" i="33"/>
  <c r="H43" i="33"/>
  <c r="H50" i="33"/>
  <c r="H13" i="33"/>
  <c r="H15" i="33"/>
  <c r="H22" i="33"/>
  <c r="H51" i="33"/>
  <c r="H52" i="33"/>
  <c r="G39" i="33"/>
  <c r="H58" i="33"/>
  <c r="I58" i="33"/>
  <c r="J58" i="33"/>
  <c r="J40" i="33"/>
  <c r="H59" i="33"/>
  <c r="I59" i="33"/>
  <c r="J59" i="33"/>
  <c r="H60" i="33"/>
  <c r="I60" i="33"/>
  <c r="J60" i="33"/>
  <c r="J62" i="33"/>
  <c r="G11" i="31"/>
  <c r="H13" i="32"/>
  <c r="H15" i="32"/>
  <c r="H22" i="32"/>
  <c r="H51" i="32"/>
  <c r="H60" i="32"/>
  <c r="I60" i="32"/>
  <c r="J60" i="32"/>
  <c r="J40" i="32"/>
  <c r="H59" i="32"/>
  <c r="I59" i="32"/>
  <c r="J59" i="32"/>
  <c r="G39" i="32"/>
  <c r="H58" i="32"/>
  <c r="I58" i="32"/>
  <c r="J58" i="32"/>
  <c r="H33" i="32"/>
  <c r="H32" i="32"/>
  <c r="H35" i="32"/>
  <c r="H43" i="32"/>
  <c r="H50" i="32"/>
  <c r="H52" i="32"/>
  <c r="J62" i="32"/>
  <c r="G10" i="31"/>
  <c r="I62" i="32"/>
  <c r="I62" i="33"/>
  <c r="J2" i="32"/>
  <c r="G37" i="32"/>
  <c r="G43" i="32"/>
  <c r="D40" i="32"/>
  <c r="D39" i="32"/>
  <c r="I38" i="32"/>
  <c r="I43" i="32"/>
  <c r="I22" i="32"/>
  <c r="I24" i="32"/>
  <c r="I45" i="32"/>
  <c r="I47" i="32"/>
  <c r="D38" i="32"/>
  <c r="D37" i="32"/>
  <c r="D33" i="32"/>
  <c r="D32" i="32"/>
  <c r="J22" i="32"/>
  <c r="J24" i="32"/>
  <c r="J26" i="32"/>
  <c r="I26" i="32"/>
  <c r="G22" i="32"/>
  <c r="G24" i="32"/>
  <c r="H24" i="32"/>
  <c r="H26" i="32"/>
  <c r="D13" i="32"/>
  <c r="J2" i="33"/>
  <c r="H45" i="32"/>
  <c r="E24" i="32"/>
  <c r="E26" i="32"/>
  <c r="G26" i="32"/>
  <c r="G45" i="32"/>
  <c r="H62" i="32"/>
  <c r="J43" i="32"/>
  <c r="J45" i="32"/>
  <c r="J47" i="32"/>
  <c r="I38" i="33"/>
  <c r="I43" i="33"/>
  <c r="G37" i="33"/>
  <c r="G43" i="33"/>
  <c r="G22" i="33"/>
  <c r="G24" i="33"/>
  <c r="G45" i="33"/>
  <c r="H62" i="33"/>
  <c r="D40" i="33"/>
  <c r="D39" i="33"/>
  <c r="D38" i="33"/>
  <c r="D37" i="33"/>
  <c r="D33" i="33"/>
  <c r="D32" i="33"/>
  <c r="J22" i="33"/>
  <c r="J24" i="33"/>
  <c r="J26" i="33"/>
  <c r="I22" i="33"/>
  <c r="I24" i="33"/>
  <c r="I26" i="33"/>
  <c r="H24" i="33"/>
  <c r="H26" i="33"/>
  <c r="D13" i="33"/>
  <c r="G47" i="32"/>
  <c r="E45" i="32"/>
  <c r="E47" i="32"/>
  <c r="H47" i="32"/>
  <c r="E24" i="33"/>
  <c r="E26" i="33"/>
  <c r="H45" i="33"/>
  <c r="G47" i="33"/>
  <c r="I45" i="33"/>
  <c r="I47" i="33"/>
  <c r="G26" i="33"/>
  <c r="J43" i="33"/>
  <c r="J45" i="33"/>
  <c r="J47" i="33"/>
  <c r="S2" i="28"/>
  <c r="S2" i="27"/>
  <c r="H2" i="26"/>
  <c r="F9" i="27"/>
  <c r="H9" i="27"/>
  <c r="F10" i="27"/>
  <c r="H10" i="27"/>
  <c r="H11" i="27"/>
  <c r="B8" i="26"/>
  <c r="F14" i="27"/>
  <c r="H14" i="27"/>
  <c r="F15" i="27"/>
  <c r="H15" i="27"/>
  <c r="F16" i="27"/>
  <c r="H16" i="27"/>
  <c r="H17" i="27"/>
  <c r="B9" i="26"/>
  <c r="B10" i="26"/>
  <c r="C8" i="26"/>
  <c r="C9" i="26"/>
  <c r="C10" i="26"/>
  <c r="E45" i="33"/>
  <c r="E47" i="33"/>
  <c r="H47" i="33"/>
  <c r="S2" i="30"/>
  <c r="S2" i="29"/>
  <c r="S2" i="25"/>
  <c r="O19" i="30"/>
  <c r="G17" i="30"/>
  <c r="F14" i="30"/>
  <c r="F15" i="30"/>
  <c r="F16" i="30"/>
  <c r="F17" i="30"/>
  <c r="E17" i="30"/>
  <c r="D17" i="30"/>
  <c r="C17" i="30"/>
  <c r="K16" i="30"/>
  <c r="P17" i="30"/>
  <c r="Q17" i="30"/>
  <c r="H16" i="30"/>
  <c r="M16" i="30"/>
  <c r="K15" i="30"/>
  <c r="H15" i="30"/>
  <c r="K14" i="30"/>
  <c r="H14" i="30"/>
  <c r="M14" i="30"/>
  <c r="K10" i="30"/>
  <c r="P11" i="30"/>
  <c r="Q11" i="30"/>
  <c r="G11" i="30"/>
  <c r="G19" i="30"/>
  <c r="E11" i="30"/>
  <c r="D11" i="30"/>
  <c r="C11" i="30"/>
  <c r="F10" i="30"/>
  <c r="H10" i="30"/>
  <c r="M10" i="30"/>
  <c r="F9" i="30"/>
  <c r="H9" i="30"/>
  <c r="K9" i="30"/>
  <c r="M9" i="30"/>
  <c r="O19" i="29"/>
  <c r="K16" i="29"/>
  <c r="P17" i="29"/>
  <c r="Q17" i="29"/>
  <c r="G17" i="29"/>
  <c r="G11" i="29"/>
  <c r="G19" i="29"/>
  <c r="E17" i="29"/>
  <c r="D17" i="29"/>
  <c r="C17" i="29"/>
  <c r="F16" i="29"/>
  <c r="H16" i="29"/>
  <c r="M16" i="29"/>
  <c r="K15" i="29"/>
  <c r="F15" i="29"/>
  <c r="H15" i="29"/>
  <c r="M15" i="29"/>
  <c r="K14" i="29"/>
  <c r="F14" i="29"/>
  <c r="H14" i="29"/>
  <c r="F9" i="29"/>
  <c r="F10" i="29"/>
  <c r="F11" i="29"/>
  <c r="E11" i="29"/>
  <c r="D11" i="29"/>
  <c r="C11" i="29"/>
  <c r="K10" i="29"/>
  <c r="P11" i="29"/>
  <c r="Q11" i="29"/>
  <c r="H10" i="29"/>
  <c r="M10" i="29"/>
  <c r="K9" i="29"/>
  <c r="H9" i="29"/>
  <c r="M9" i="29"/>
  <c r="O20" i="28"/>
  <c r="G18" i="28"/>
  <c r="G12" i="28"/>
  <c r="G20" i="28"/>
  <c r="K17" i="28"/>
  <c r="P18" i="28"/>
  <c r="Q18" i="28"/>
  <c r="K11" i="28"/>
  <c r="P12" i="28"/>
  <c r="Q12" i="28"/>
  <c r="Q20" i="28"/>
  <c r="E18" i="28"/>
  <c r="D18" i="28"/>
  <c r="C18" i="28"/>
  <c r="F17" i="28"/>
  <c r="H17" i="28"/>
  <c r="M17" i="28"/>
  <c r="F16" i="28"/>
  <c r="H16" i="28"/>
  <c r="K16" i="28"/>
  <c r="M16" i="28"/>
  <c r="K15" i="28"/>
  <c r="F15" i="28"/>
  <c r="H15" i="28"/>
  <c r="H18" i="28"/>
  <c r="B14" i="26"/>
  <c r="F10" i="28"/>
  <c r="H10" i="28"/>
  <c r="F11" i="28"/>
  <c r="H11" i="28"/>
  <c r="H12" i="28"/>
  <c r="F12" i="28"/>
  <c r="E12" i="28"/>
  <c r="D12" i="28"/>
  <c r="C12" i="28"/>
  <c r="M11" i="28"/>
  <c r="K10" i="28"/>
  <c r="O19" i="27"/>
  <c r="G17" i="27"/>
  <c r="F17" i="27"/>
  <c r="E17" i="27"/>
  <c r="D17" i="27"/>
  <c r="C17" i="27"/>
  <c r="K16" i="27"/>
  <c r="P17" i="27"/>
  <c r="Q17" i="27"/>
  <c r="M16" i="27"/>
  <c r="K15" i="27"/>
  <c r="M15" i="27"/>
  <c r="K14" i="27"/>
  <c r="M14" i="27"/>
  <c r="M17" i="27"/>
  <c r="K10" i="27"/>
  <c r="P11" i="27"/>
  <c r="Q11" i="27"/>
  <c r="G11" i="27"/>
  <c r="G19" i="27"/>
  <c r="E11" i="27"/>
  <c r="D11" i="27"/>
  <c r="C11" i="27"/>
  <c r="F10" i="25"/>
  <c r="K9" i="27"/>
  <c r="F27" i="26"/>
  <c r="C24" i="26"/>
  <c r="C23" i="26"/>
  <c r="C19" i="26"/>
  <c r="C18" i="26"/>
  <c r="C14" i="26"/>
  <c r="C13" i="26"/>
  <c r="B13" i="26"/>
  <c r="O17" i="25"/>
  <c r="K16" i="25"/>
  <c r="P17" i="25"/>
  <c r="G16" i="25"/>
  <c r="E16" i="25"/>
  <c r="D16" i="25"/>
  <c r="C16" i="25"/>
  <c r="K15" i="25"/>
  <c r="G15" i="25"/>
  <c r="E15" i="25"/>
  <c r="D15" i="25"/>
  <c r="C15" i="25"/>
  <c r="K14" i="25"/>
  <c r="G14" i="25"/>
  <c r="E14" i="25"/>
  <c r="D14" i="25"/>
  <c r="C14" i="25"/>
  <c r="G13" i="25"/>
  <c r="F13" i="25"/>
  <c r="E13" i="25"/>
  <c r="D13" i="25"/>
  <c r="C13" i="25"/>
  <c r="O11" i="25"/>
  <c r="K10" i="25"/>
  <c r="P11" i="25"/>
  <c r="G10" i="25"/>
  <c r="E10" i="25"/>
  <c r="D10" i="25"/>
  <c r="C10" i="25"/>
  <c r="K9" i="25"/>
  <c r="G9" i="25"/>
  <c r="E9" i="25"/>
  <c r="D9" i="25"/>
  <c r="C9" i="25"/>
  <c r="G13" i="31"/>
  <c r="C20" i="26"/>
  <c r="E11" i="25"/>
  <c r="E17" i="25"/>
  <c r="G11" i="25"/>
  <c r="C15" i="26"/>
  <c r="C25" i="26"/>
  <c r="D14" i="26"/>
  <c r="D13" i="26"/>
  <c r="D15" i="26"/>
  <c r="E14" i="26"/>
  <c r="H14" i="26"/>
  <c r="C11" i="25"/>
  <c r="O19" i="25"/>
  <c r="G17" i="25"/>
  <c r="D11" i="25"/>
  <c r="Q11" i="25"/>
  <c r="D17" i="25"/>
  <c r="C17" i="25"/>
  <c r="H10" i="25"/>
  <c r="M10" i="25"/>
  <c r="Q17" i="25"/>
  <c r="Q19" i="27"/>
  <c r="M11" i="29"/>
  <c r="S11" i="29"/>
  <c r="S17" i="27"/>
  <c r="M14" i="29"/>
  <c r="M17" i="29"/>
  <c r="H17" i="29"/>
  <c r="M11" i="30"/>
  <c r="S11" i="30"/>
  <c r="B15" i="26"/>
  <c r="M10" i="27"/>
  <c r="H20" i="28"/>
  <c r="M10" i="28"/>
  <c r="M12" i="28"/>
  <c r="S12" i="28"/>
  <c r="F11" i="30"/>
  <c r="F19" i="30"/>
  <c r="M15" i="30"/>
  <c r="M17" i="30"/>
  <c r="Q19" i="30"/>
  <c r="F18" i="28"/>
  <c r="F20" i="28"/>
  <c r="Q19" i="29"/>
  <c r="F11" i="27"/>
  <c r="F19" i="27"/>
  <c r="F9" i="25"/>
  <c r="H11" i="29"/>
  <c r="B18" i="26"/>
  <c r="H17" i="30"/>
  <c r="M15" i="28"/>
  <c r="M18" i="28"/>
  <c r="F17" i="29"/>
  <c r="F19" i="29"/>
  <c r="H11" i="30"/>
  <c r="B23" i="26"/>
  <c r="F14" i="25"/>
  <c r="F15" i="25"/>
  <c r="H15" i="25"/>
  <c r="M15" i="25"/>
  <c r="F16" i="25"/>
  <c r="H16" i="25"/>
  <c r="M16" i="25"/>
  <c r="Q19" i="25"/>
  <c r="G19" i="25"/>
  <c r="E13" i="26"/>
  <c r="G13" i="26"/>
  <c r="M19" i="30"/>
  <c r="S17" i="30"/>
  <c r="S19" i="30"/>
  <c r="H19" i="30"/>
  <c r="B24" i="26"/>
  <c r="D24" i="26"/>
  <c r="M19" i="29"/>
  <c r="S17" i="29"/>
  <c r="S19" i="29"/>
  <c r="M20" i="28"/>
  <c r="S18" i="28"/>
  <c r="S20" i="28"/>
  <c r="D18" i="26"/>
  <c r="F17" i="25"/>
  <c r="H14" i="25"/>
  <c r="D9" i="26"/>
  <c r="F11" i="25"/>
  <c r="H9" i="25"/>
  <c r="D23" i="26"/>
  <c r="M9" i="27"/>
  <c r="M11" i="27"/>
  <c r="H19" i="29"/>
  <c r="B19" i="26"/>
  <c r="D19" i="26"/>
  <c r="E15" i="26"/>
  <c r="B25" i="26"/>
  <c r="D25" i="26"/>
  <c r="E24" i="26"/>
  <c r="H24" i="26"/>
  <c r="H19" i="27"/>
  <c r="D20" i="26"/>
  <c r="E18" i="26"/>
  <c r="M9" i="25"/>
  <c r="M11" i="25"/>
  <c r="S11" i="25"/>
  <c r="G29" i="26"/>
  <c r="H11" i="25"/>
  <c r="M14" i="25"/>
  <c r="M17" i="25"/>
  <c r="H17" i="25"/>
  <c r="B20" i="26"/>
  <c r="D8" i="26"/>
  <c r="S11" i="27"/>
  <c r="S19" i="27"/>
  <c r="M19" i="27"/>
  <c r="F19" i="25"/>
  <c r="E19" i="26"/>
  <c r="H19" i="26"/>
  <c r="H19" i="25"/>
  <c r="G18" i="26"/>
  <c r="D10" i="26"/>
  <c r="E9" i="26"/>
  <c r="H9" i="26"/>
  <c r="H27" i="26"/>
  <c r="E23" i="26"/>
  <c r="S17" i="25"/>
  <c r="M19" i="25"/>
  <c r="E20" i="26"/>
  <c r="H29" i="26"/>
  <c r="S19" i="25"/>
  <c r="S20" i="25"/>
  <c r="E8" i="26"/>
  <c r="E25" i="26"/>
  <c r="G23" i="26"/>
  <c r="E10" i="26"/>
  <c r="G8" i="26"/>
  <c r="G27" i="26"/>
  <c r="G31" i="26"/>
  <c r="H31" i="26"/>
  <c r="F29" i="26"/>
  <c r="V1162" i="23"/>
  <c r="W1162" i="23"/>
  <c r="X1162" i="23"/>
  <c r="V1165" i="23"/>
  <c r="W1165" i="23"/>
  <c r="X1165" i="23"/>
  <c r="V1166" i="23"/>
  <c r="W1166" i="23"/>
  <c r="X1166" i="23"/>
  <c r="V1167" i="23"/>
  <c r="W1167" i="23"/>
  <c r="X1167" i="23"/>
  <c r="V1168" i="23"/>
  <c r="W1168" i="23"/>
  <c r="X1168" i="23"/>
  <c r="V1169" i="23"/>
  <c r="W1169" i="23"/>
  <c r="X1169" i="23"/>
  <c r="V1170" i="23"/>
  <c r="W1170" i="23"/>
  <c r="X1170" i="23"/>
  <c r="V1171" i="23"/>
  <c r="W1171" i="23"/>
  <c r="X1171" i="23"/>
  <c r="V1172" i="23"/>
  <c r="W1172" i="23"/>
  <c r="X1172" i="23"/>
  <c r="X1174" i="23"/>
  <c r="J25" i="9"/>
  <c r="V1134" i="23"/>
  <c r="W1134" i="23"/>
  <c r="X1134" i="23"/>
  <c r="V1135" i="23"/>
  <c r="W1135" i="23"/>
  <c r="X1135" i="23"/>
  <c r="V1136" i="23"/>
  <c r="W1136" i="23"/>
  <c r="X1136" i="23"/>
  <c r="V1137" i="23"/>
  <c r="W1137" i="23"/>
  <c r="X1137" i="23"/>
  <c r="V1138" i="23"/>
  <c r="W1138" i="23"/>
  <c r="X1138" i="23"/>
  <c r="X1140" i="23"/>
  <c r="J24" i="9"/>
  <c r="V1092" i="23"/>
  <c r="W1092" i="23"/>
  <c r="X1092" i="23"/>
  <c r="V1093" i="23"/>
  <c r="W1093" i="23"/>
  <c r="X1093" i="23"/>
  <c r="V1094" i="23"/>
  <c r="W1094" i="23"/>
  <c r="X1094" i="23"/>
  <c r="V1095" i="23"/>
  <c r="W1095" i="23"/>
  <c r="X1095" i="23"/>
  <c r="V1096" i="23"/>
  <c r="W1096" i="23"/>
  <c r="X1096" i="23"/>
  <c r="V1097" i="23"/>
  <c r="W1097" i="23"/>
  <c r="X1097" i="23"/>
  <c r="V1098" i="23"/>
  <c r="W1098" i="23"/>
  <c r="X1098" i="23"/>
  <c r="V1099" i="23"/>
  <c r="W1099" i="23"/>
  <c r="X1099" i="23"/>
  <c r="V1100" i="23"/>
  <c r="W1100" i="23"/>
  <c r="X1100" i="23"/>
  <c r="V1101" i="23"/>
  <c r="W1101" i="23"/>
  <c r="X1101" i="23"/>
  <c r="V1102" i="23"/>
  <c r="W1102" i="23"/>
  <c r="X1102" i="23"/>
  <c r="V1103" i="23"/>
  <c r="W1103" i="23"/>
  <c r="X1103" i="23"/>
  <c r="V1104" i="23"/>
  <c r="W1104" i="23"/>
  <c r="X1104" i="23"/>
  <c r="V1105" i="23"/>
  <c r="W1105" i="23"/>
  <c r="X1105" i="23"/>
  <c r="V1106" i="23"/>
  <c r="W1106" i="23"/>
  <c r="X1106" i="23"/>
  <c r="V1107" i="23"/>
  <c r="W1107" i="23"/>
  <c r="X1107" i="23"/>
  <c r="V1108" i="23"/>
  <c r="W1108" i="23"/>
  <c r="X1108" i="23"/>
  <c r="V1109" i="23"/>
  <c r="W1109" i="23"/>
  <c r="X1109" i="23"/>
  <c r="V1110" i="23"/>
  <c r="W1110" i="23"/>
  <c r="X1110" i="23"/>
  <c r="V1111" i="23"/>
  <c r="W1111" i="23"/>
  <c r="X1111" i="23"/>
  <c r="V1112" i="23"/>
  <c r="W1112" i="23"/>
  <c r="X1112" i="23"/>
  <c r="V1113" i="23"/>
  <c r="W1113" i="23"/>
  <c r="X1113" i="23"/>
  <c r="X1115" i="23"/>
  <c r="J23" i="9"/>
  <c r="V772" i="23"/>
  <c r="W772" i="23"/>
  <c r="X772" i="23"/>
  <c r="V773" i="23"/>
  <c r="W773" i="23"/>
  <c r="X773" i="23"/>
  <c r="V774" i="23"/>
  <c r="W774" i="23"/>
  <c r="X774" i="23"/>
  <c r="V775" i="23"/>
  <c r="W775" i="23"/>
  <c r="X775" i="23"/>
  <c r="V776" i="23"/>
  <c r="W776" i="23"/>
  <c r="X776" i="23"/>
  <c r="V777" i="23"/>
  <c r="W777" i="23"/>
  <c r="X777" i="23"/>
  <c r="V778" i="23"/>
  <c r="W778" i="23"/>
  <c r="X778" i="23"/>
  <c r="V779" i="23"/>
  <c r="W779" i="23"/>
  <c r="X779" i="23"/>
  <c r="V780" i="23"/>
  <c r="W780" i="23"/>
  <c r="X780" i="23"/>
  <c r="V781" i="23"/>
  <c r="W781" i="23"/>
  <c r="X781" i="23"/>
  <c r="V782" i="23"/>
  <c r="W782" i="23"/>
  <c r="X782" i="23"/>
  <c r="V783" i="23"/>
  <c r="W783" i="23"/>
  <c r="X783" i="23"/>
  <c r="V784" i="23"/>
  <c r="W784" i="23"/>
  <c r="X784" i="23"/>
  <c r="V785" i="23"/>
  <c r="W785" i="23"/>
  <c r="X785" i="23"/>
  <c r="V786" i="23"/>
  <c r="W786" i="23"/>
  <c r="X786" i="23"/>
  <c r="V787" i="23"/>
  <c r="W787" i="23"/>
  <c r="X787" i="23"/>
  <c r="V788" i="23"/>
  <c r="W788" i="23"/>
  <c r="X788" i="23"/>
  <c r="V789" i="23"/>
  <c r="W789" i="23"/>
  <c r="X789" i="23"/>
  <c r="V790" i="23"/>
  <c r="W790" i="23"/>
  <c r="X790" i="23"/>
  <c r="V791" i="23"/>
  <c r="W791" i="23"/>
  <c r="X791" i="23"/>
  <c r="V792" i="23"/>
  <c r="W792" i="23"/>
  <c r="X792" i="23"/>
  <c r="V793" i="23"/>
  <c r="W793" i="23"/>
  <c r="X793" i="23"/>
  <c r="V794" i="23"/>
  <c r="W794" i="23"/>
  <c r="X794" i="23"/>
  <c r="V795" i="23"/>
  <c r="W795" i="23"/>
  <c r="X795" i="23"/>
  <c r="V796" i="23"/>
  <c r="W796" i="23"/>
  <c r="X796" i="23"/>
  <c r="V797" i="23"/>
  <c r="W797" i="23"/>
  <c r="X797" i="23"/>
  <c r="V798" i="23"/>
  <c r="W798" i="23"/>
  <c r="X798" i="23"/>
  <c r="V799" i="23"/>
  <c r="W799" i="23"/>
  <c r="X799" i="23"/>
  <c r="V800" i="23"/>
  <c r="W800" i="23"/>
  <c r="X800" i="23"/>
  <c r="V801" i="23"/>
  <c r="W801" i="23"/>
  <c r="X801" i="23"/>
  <c r="V802" i="23"/>
  <c r="W802" i="23"/>
  <c r="X802" i="23"/>
  <c r="V803" i="23"/>
  <c r="W803" i="23"/>
  <c r="X803" i="23"/>
  <c r="V804" i="23"/>
  <c r="W804" i="23"/>
  <c r="X804" i="23"/>
  <c r="V805" i="23"/>
  <c r="W805" i="23"/>
  <c r="X805" i="23"/>
  <c r="V806" i="23"/>
  <c r="W806" i="23"/>
  <c r="X806" i="23"/>
  <c r="V807" i="23"/>
  <c r="W807" i="23"/>
  <c r="X807" i="23"/>
  <c r="V808" i="23"/>
  <c r="W808" i="23"/>
  <c r="X808" i="23"/>
  <c r="V809" i="23"/>
  <c r="W809" i="23"/>
  <c r="X809" i="23"/>
  <c r="V810" i="23"/>
  <c r="W810" i="23"/>
  <c r="X810" i="23"/>
  <c r="V811" i="23"/>
  <c r="W811" i="23"/>
  <c r="X811" i="23"/>
  <c r="V812" i="23"/>
  <c r="W812" i="23"/>
  <c r="X812" i="23"/>
  <c r="V813" i="23"/>
  <c r="W813" i="23"/>
  <c r="X813" i="23"/>
  <c r="V814" i="23"/>
  <c r="W814" i="23"/>
  <c r="X814" i="23"/>
  <c r="V815" i="23"/>
  <c r="W815" i="23"/>
  <c r="X815" i="23"/>
  <c r="V816" i="23"/>
  <c r="W816" i="23"/>
  <c r="X816" i="23"/>
  <c r="V817" i="23"/>
  <c r="W817" i="23"/>
  <c r="X817" i="23"/>
  <c r="V818" i="23"/>
  <c r="W818" i="23"/>
  <c r="X818" i="23"/>
  <c r="V819" i="23"/>
  <c r="W819" i="23"/>
  <c r="X819" i="23"/>
  <c r="V820" i="23"/>
  <c r="W820" i="23"/>
  <c r="X820" i="23"/>
  <c r="V821" i="23"/>
  <c r="W821" i="23"/>
  <c r="X821" i="23"/>
  <c r="V822" i="23"/>
  <c r="W822" i="23"/>
  <c r="X822" i="23"/>
  <c r="V823" i="23"/>
  <c r="W823" i="23"/>
  <c r="X823" i="23"/>
  <c r="V824" i="23"/>
  <c r="W824" i="23"/>
  <c r="X824" i="23"/>
  <c r="V825" i="23"/>
  <c r="W825" i="23"/>
  <c r="X825" i="23"/>
  <c r="V826" i="23"/>
  <c r="W826" i="23"/>
  <c r="X826" i="23"/>
  <c r="V827" i="23"/>
  <c r="W827" i="23"/>
  <c r="X827" i="23"/>
  <c r="V828" i="23"/>
  <c r="W828" i="23"/>
  <c r="X828" i="23"/>
  <c r="V829" i="23"/>
  <c r="W829" i="23"/>
  <c r="X829" i="23"/>
  <c r="V830" i="23"/>
  <c r="W830" i="23"/>
  <c r="X830" i="23"/>
  <c r="V831" i="23"/>
  <c r="W831" i="23"/>
  <c r="X831" i="23"/>
  <c r="V832" i="23"/>
  <c r="W832" i="23"/>
  <c r="X832" i="23"/>
  <c r="V833" i="23"/>
  <c r="W833" i="23"/>
  <c r="X833" i="23"/>
  <c r="V834" i="23"/>
  <c r="W834" i="23"/>
  <c r="X834" i="23"/>
  <c r="V835" i="23"/>
  <c r="W835" i="23"/>
  <c r="X835" i="23"/>
  <c r="V836" i="23"/>
  <c r="W836" i="23"/>
  <c r="X836" i="23"/>
  <c r="V837" i="23"/>
  <c r="W837" i="23"/>
  <c r="X837" i="23"/>
  <c r="V838" i="23"/>
  <c r="W838" i="23"/>
  <c r="X838" i="23"/>
  <c r="V839" i="23"/>
  <c r="W839" i="23"/>
  <c r="X839" i="23"/>
  <c r="V840" i="23"/>
  <c r="W840" i="23"/>
  <c r="X840" i="23"/>
  <c r="V841" i="23"/>
  <c r="W841" i="23"/>
  <c r="X841" i="23"/>
  <c r="V842" i="23"/>
  <c r="W842" i="23"/>
  <c r="X842" i="23"/>
  <c r="V843" i="23"/>
  <c r="W843" i="23"/>
  <c r="X843" i="23"/>
  <c r="V844" i="23"/>
  <c r="W844" i="23"/>
  <c r="X844" i="23"/>
  <c r="V845" i="23"/>
  <c r="W845" i="23"/>
  <c r="X845" i="23"/>
  <c r="V846" i="23"/>
  <c r="W846" i="23"/>
  <c r="X846" i="23"/>
  <c r="V847" i="23"/>
  <c r="W847" i="23"/>
  <c r="X847" i="23"/>
  <c r="V848" i="23"/>
  <c r="W848" i="23"/>
  <c r="X848" i="23"/>
  <c r="V849" i="23"/>
  <c r="W849" i="23"/>
  <c r="X849" i="23"/>
  <c r="V850" i="23"/>
  <c r="W850" i="23"/>
  <c r="X850" i="23"/>
  <c r="V851" i="23"/>
  <c r="W851" i="23"/>
  <c r="X851" i="23"/>
  <c r="V852" i="23"/>
  <c r="W852" i="23"/>
  <c r="X852" i="23"/>
  <c r="V853" i="23"/>
  <c r="W853" i="23"/>
  <c r="X853" i="23"/>
  <c r="V854" i="23"/>
  <c r="W854" i="23"/>
  <c r="X854" i="23"/>
  <c r="V855" i="23"/>
  <c r="W855" i="23"/>
  <c r="X855" i="23"/>
  <c r="V856" i="23"/>
  <c r="W856" i="23"/>
  <c r="X856" i="23"/>
  <c r="V857" i="23"/>
  <c r="W857" i="23"/>
  <c r="X857" i="23"/>
  <c r="V858" i="23"/>
  <c r="W858" i="23"/>
  <c r="X858" i="23"/>
  <c r="V859" i="23"/>
  <c r="W859" i="23"/>
  <c r="X859" i="23"/>
  <c r="V860" i="23"/>
  <c r="W860" i="23"/>
  <c r="X860" i="23"/>
  <c r="V861" i="23"/>
  <c r="W861" i="23"/>
  <c r="X861" i="23"/>
  <c r="V862" i="23"/>
  <c r="W862" i="23"/>
  <c r="X862" i="23"/>
  <c r="V863" i="23"/>
  <c r="W863" i="23"/>
  <c r="X863" i="23"/>
  <c r="V864" i="23"/>
  <c r="W864" i="23"/>
  <c r="X864" i="23"/>
  <c r="V865" i="23"/>
  <c r="W865" i="23"/>
  <c r="X865" i="23"/>
  <c r="V866" i="23"/>
  <c r="W866" i="23"/>
  <c r="X866" i="23"/>
  <c r="V867" i="23"/>
  <c r="W867" i="23"/>
  <c r="X867" i="23"/>
  <c r="V868" i="23"/>
  <c r="W868" i="23"/>
  <c r="X868" i="23"/>
  <c r="V869" i="23"/>
  <c r="W869" i="23"/>
  <c r="X869" i="23"/>
  <c r="V870" i="23"/>
  <c r="W870" i="23"/>
  <c r="X870" i="23"/>
  <c r="V871" i="23"/>
  <c r="W871" i="23"/>
  <c r="X871" i="23"/>
  <c r="V872" i="23"/>
  <c r="W872" i="23"/>
  <c r="X872" i="23"/>
  <c r="V873" i="23"/>
  <c r="W873" i="23"/>
  <c r="X873" i="23"/>
  <c r="V874" i="23"/>
  <c r="W874" i="23"/>
  <c r="X874" i="23"/>
  <c r="V875" i="23"/>
  <c r="W875" i="23"/>
  <c r="X875" i="23"/>
  <c r="V876" i="23"/>
  <c r="W876" i="23"/>
  <c r="X876" i="23"/>
  <c r="V877" i="23"/>
  <c r="W877" i="23"/>
  <c r="X877" i="23"/>
  <c r="V878" i="23"/>
  <c r="W878" i="23"/>
  <c r="X878" i="23"/>
  <c r="V879" i="23"/>
  <c r="W879" i="23"/>
  <c r="X879" i="23"/>
  <c r="V880" i="23"/>
  <c r="W880" i="23"/>
  <c r="X880" i="23"/>
  <c r="V881" i="23"/>
  <c r="W881" i="23"/>
  <c r="X881" i="23"/>
  <c r="V882" i="23"/>
  <c r="W882" i="23"/>
  <c r="X882" i="23"/>
  <c r="V883" i="23"/>
  <c r="W883" i="23"/>
  <c r="X883" i="23"/>
  <c r="V884" i="23"/>
  <c r="W884" i="23"/>
  <c r="X884" i="23"/>
  <c r="V885" i="23"/>
  <c r="W885" i="23"/>
  <c r="X885" i="23"/>
  <c r="V886" i="23"/>
  <c r="W886" i="23"/>
  <c r="X886" i="23"/>
  <c r="V887" i="23"/>
  <c r="W887" i="23"/>
  <c r="X887" i="23"/>
  <c r="V888" i="23"/>
  <c r="W888" i="23"/>
  <c r="X888" i="23"/>
  <c r="V889" i="23"/>
  <c r="W889" i="23"/>
  <c r="X889" i="23"/>
  <c r="V890" i="23"/>
  <c r="W890" i="23"/>
  <c r="X890" i="23"/>
  <c r="V891" i="23"/>
  <c r="W891" i="23"/>
  <c r="X891" i="23"/>
  <c r="V892" i="23"/>
  <c r="W892" i="23"/>
  <c r="X892" i="23"/>
  <c r="V893" i="23"/>
  <c r="W893" i="23"/>
  <c r="X893" i="23"/>
  <c r="V894" i="23"/>
  <c r="W894" i="23"/>
  <c r="X894" i="23"/>
  <c r="V895" i="23"/>
  <c r="W895" i="23"/>
  <c r="X895" i="23"/>
  <c r="V896" i="23"/>
  <c r="W896" i="23"/>
  <c r="X896" i="23"/>
  <c r="V897" i="23"/>
  <c r="W897" i="23"/>
  <c r="X897" i="23"/>
  <c r="V898" i="23"/>
  <c r="W898" i="23"/>
  <c r="X898" i="23"/>
  <c r="V899" i="23"/>
  <c r="W899" i="23"/>
  <c r="X899" i="23"/>
  <c r="V900" i="23"/>
  <c r="W900" i="23"/>
  <c r="X900" i="23"/>
  <c r="V901" i="23"/>
  <c r="W901" i="23"/>
  <c r="X901" i="23"/>
  <c r="V902" i="23"/>
  <c r="W902" i="23"/>
  <c r="X902" i="23"/>
  <c r="V903" i="23"/>
  <c r="W903" i="23"/>
  <c r="X903" i="23"/>
  <c r="V904" i="23"/>
  <c r="W904" i="23"/>
  <c r="X904" i="23"/>
  <c r="V905" i="23"/>
  <c r="W905" i="23"/>
  <c r="X905" i="23"/>
  <c r="V906" i="23"/>
  <c r="W906" i="23"/>
  <c r="X906" i="23"/>
  <c r="V907" i="23"/>
  <c r="W907" i="23"/>
  <c r="X907" i="23"/>
  <c r="V908" i="23"/>
  <c r="W908" i="23"/>
  <c r="X908" i="23"/>
  <c r="V909" i="23"/>
  <c r="W909" i="23"/>
  <c r="X909" i="23"/>
  <c r="V910" i="23"/>
  <c r="W910" i="23"/>
  <c r="X910" i="23"/>
  <c r="V911" i="23"/>
  <c r="W911" i="23"/>
  <c r="X911" i="23"/>
  <c r="V912" i="23"/>
  <c r="W912" i="23"/>
  <c r="X912" i="23"/>
  <c r="V913" i="23"/>
  <c r="W913" i="23"/>
  <c r="X913" i="23"/>
  <c r="V914" i="23"/>
  <c r="W914" i="23"/>
  <c r="X914" i="23"/>
  <c r="V915" i="23"/>
  <c r="W915" i="23"/>
  <c r="X915" i="23"/>
  <c r="V916" i="23"/>
  <c r="W916" i="23"/>
  <c r="X916" i="23"/>
  <c r="V917" i="23"/>
  <c r="W917" i="23"/>
  <c r="X917" i="23"/>
  <c r="V918" i="23"/>
  <c r="W918" i="23"/>
  <c r="X918" i="23"/>
  <c r="V919" i="23"/>
  <c r="W919" i="23"/>
  <c r="X919" i="23"/>
  <c r="V920" i="23"/>
  <c r="W920" i="23"/>
  <c r="X920" i="23"/>
  <c r="V921" i="23"/>
  <c r="W921" i="23"/>
  <c r="X921" i="23"/>
  <c r="V922" i="23"/>
  <c r="W922" i="23"/>
  <c r="X922" i="23"/>
  <c r="V923" i="23"/>
  <c r="W923" i="23"/>
  <c r="X923" i="23"/>
  <c r="V924" i="23"/>
  <c r="W924" i="23"/>
  <c r="X924" i="23"/>
  <c r="V925" i="23"/>
  <c r="W925" i="23"/>
  <c r="X925" i="23"/>
  <c r="V926" i="23"/>
  <c r="W926" i="23"/>
  <c r="X926" i="23"/>
  <c r="V927" i="23"/>
  <c r="W927" i="23"/>
  <c r="X927" i="23"/>
  <c r="V928" i="23"/>
  <c r="W928" i="23"/>
  <c r="X928" i="23"/>
  <c r="V929" i="23"/>
  <c r="W929" i="23"/>
  <c r="X929" i="23"/>
  <c r="V930" i="23"/>
  <c r="W930" i="23"/>
  <c r="X930" i="23"/>
  <c r="V931" i="23"/>
  <c r="W931" i="23"/>
  <c r="X931" i="23"/>
  <c r="V932" i="23"/>
  <c r="W932" i="23"/>
  <c r="X932" i="23"/>
  <c r="V933" i="23"/>
  <c r="W933" i="23"/>
  <c r="X933" i="23"/>
  <c r="V934" i="23"/>
  <c r="W934" i="23"/>
  <c r="X934" i="23"/>
  <c r="V935" i="23"/>
  <c r="W935" i="23"/>
  <c r="X935" i="23"/>
  <c r="V936" i="23"/>
  <c r="W936" i="23"/>
  <c r="X936" i="23"/>
  <c r="V937" i="23"/>
  <c r="W937" i="23"/>
  <c r="X937" i="23"/>
  <c r="V938" i="23"/>
  <c r="W938" i="23"/>
  <c r="X938" i="23"/>
  <c r="V939" i="23"/>
  <c r="W939" i="23"/>
  <c r="X939" i="23"/>
  <c r="V940" i="23"/>
  <c r="W940" i="23"/>
  <c r="X940" i="23"/>
  <c r="V941" i="23"/>
  <c r="W941" i="23"/>
  <c r="X941" i="23"/>
  <c r="V942" i="23"/>
  <c r="W942" i="23"/>
  <c r="X942" i="23"/>
  <c r="V943" i="23"/>
  <c r="W943" i="23"/>
  <c r="X943" i="23"/>
  <c r="V944" i="23"/>
  <c r="W944" i="23"/>
  <c r="X944" i="23"/>
  <c r="V945" i="23"/>
  <c r="W945" i="23"/>
  <c r="X945" i="23"/>
  <c r="V946" i="23"/>
  <c r="W946" i="23"/>
  <c r="X946" i="23"/>
  <c r="V947" i="23"/>
  <c r="W947" i="23"/>
  <c r="X947" i="23"/>
  <c r="V948" i="23"/>
  <c r="W948" i="23"/>
  <c r="X948" i="23"/>
  <c r="V949" i="23"/>
  <c r="W949" i="23"/>
  <c r="X949" i="23"/>
  <c r="V950" i="23"/>
  <c r="W950" i="23"/>
  <c r="X950" i="23"/>
  <c r="V951" i="23"/>
  <c r="W951" i="23"/>
  <c r="X951" i="23"/>
  <c r="V952" i="23"/>
  <c r="W952" i="23"/>
  <c r="X952" i="23"/>
  <c r="V953" i="23"/>
  <c r="W953" i="23"/>
  <c r="X953" i="23"/>
  <c r="V954" i="23"/>
  <c r="W954" i="23"/>
  <c r="X954" i="23"/>
  <c r="V955" i="23"/>
  <c r="W955" i="23"/>
  <c r="X955" i="23"/>
  <c r="V956" i="23"/>
  <c r="W956" i="23"/>
  <c r="X956" i="23"/>
  <c r="V957" i="23"/>
  <c r="W957" i="23"/>
  <c r="X957" i="23"/>
  <c r="V958" i="23"/>
  <c r="W958" i="23"/>
  <c r="X958" i="23"/>
  <c r="V959" i="23"/>
  <c r="W959" i="23"/>
  <c r="X959" i="23"/>
  <c r="V960" i="23"/>
  <c r="W960" i="23"/>
  <c r="X960" i="23"/>
  <c r="V961" i="23"/>
  <c r="W961" i="23"/>
  <c r="X961" i="23"/>
  <c r="V962" i="23"/>
  <c r="W962" i="23"/>
  <c r="X962" i="23"/>
  <c r="V963" i="23"/>
  <c r="W963" i="23"/>
  <c r="X963" i="23"/>
  <c r="V964" i="23"/>
  <c r="W964" i="23"/>
  <c r="X964" i="23"/>
  <c r="V965" i="23"/>
  <c r="W965" i="23"/>
  <c r="X965" i="23"/>
  <c r="V966" i="23"/>
  <c r="W966" i="23"/>
  <c r="X966" i="23"/>
  <c r="V967" i="23"/>
  <c r="W967" i="23"/>
  <c r="X967" i="23"/>
  <c r="V968" i="23"/>
  <c r="W968" i="23"/>
  <c r="X968" i="23"/>
  <c r="V969" i="23"/>
  <c r="W969" i="23"/>
  <c r="X969" i="23"/>
  <c r="V970" i="23"/>
  <c r="W970" i="23"/>
  <c r="X970" i="23"/>
  <c r="V971" i="23"/>
  <c r="W971" i="23"/>
  <c r="X971" i="23"/>
  <c r="V972" i="23"/>
  <c r="W972" i="23"/>
  <c r="X972" i="23"/>
  <c r="V973" i="23"/>
  <c r="W973" i="23"/>
  <c r="X973" i="23"/>
  <c r="V974" i="23"/>
  <c r="W974" i="23"/>
  <c r="X974" i="23"/>
  <c r="V975" i="23"/>
  <c r="W975" i="23"/>
  <c r="X975" i="23"/>
  <c r="V976" i="23"/>
  <c r="W976" i="23"/>
  <c r="X976" i="23"/>
  <c r="V977" i="23"/>
  <c r="W977" i="23"/>
  <c r="X977" i="23"/>
  <c r="V978" i="23"/>
  <c r="W978" i="23"/>
  <c r="X978" i="23"/>
  <c r="V979" i="23"/>
  <c r="W979" i="23"/>
  <c r="X979" i="23"/>
  <c r="V980" i="23"/>
  <c r="W980" i="23"/>
  <c r="X980" i="23"/>
  <c r="V981" i="23"/>
  <c r="W981" i="23"/>
  <c r="X981" i="23"/>
  <c r="V982" i="23"/>
  <c r="W982" i="23"/>
  <c r="X982" i="23"/>
  <c r="V983" i="23"/>
  <c r="W983" i="23"/>
  <c r="X983" i="23"/>
  <c r="V984" i="23"/>
  <c r="W984" i="23"/>
  <c r="X984" i="23"/>
  <c r="V985" i="23"/>
  <c r="W985" i="23"/>
  <c r="X985" i="23"/>
  <c r="V986" i="23"/>
  <c r="W986" i="23"/>
  <c r="X986" i="23"/>
  <c r="V987" i="23"/>
  <c r="W987" i="23"/>
  <c r="X987" i="23"/>
  <c r="V988" i="23"/>
  <c r="W988" i="23"/>
  <c r="X988" i="23"/>
  <c r="V989" i="23"/>
  <c r="W989" i="23"/>
  <c r="X989" i="23"/>
  <c r="V990" i="23"/>
  <c r="W990" i="23"/>
  <c r="X990" i="23"/>
  <c r="V991" i="23"/>
  <c r="W991" i="23"/>
  <c r="X991" i="23"/>
  <c r="V992" i="23"/>
  <c r="W992" i="23"/>
  <c r="X992" i="23"/>
  <c r="V993" i="23"/>
  <c r="W993" i="23"/>
  <c r="X993" i="23"/>
  <c r="V994" i="23"/>
  <c r="W994" i="23"/>
  <c r="X994" i="23"/>
  <c r="V995" i="23"/>
  <c r="W995" i="23"/>
  <c r="X995" i="23"/>
  <c r="V996" i="23"/>
  <c r="W996" i="23"/>
  <c r="X996" i="23"/>
  <c r="V997" i="23"/>
  <c r="W997" i="23"/>
  <c r="X997" i="23"/>
  <c r="V998" i="23"/>
  <c r="W998" i="23"/>
  <c r="X998" i="23"/>
  <c r="V999" i="23"/>
  <c r="W999" i="23"/>
  <c r="X999" i="23"/>
  <c r="V1000" i="23"/>
  <c r="W1000" i="23"/>
  <c r="X1000" i="23"/>
  <c r="V1001" i="23"/>
  <c r="W1001" i="23"/>
  <c r="X1001" i="23"/>
  <c r="V1002" i="23"/>
  <c r="W1002" i="23"/>
  <c r="X1002" i="23"/>
  <c r="V1003" i="23"/>
  <c r="W1003" i="23"/>
  <c r="X1003" i="23"/>
  <c r="V1004" i="23"/>
  <c r="W1004" i="23"/>
  <c r="X1004" i="23"/>
  <c r="V1005" i="23"/>
  <c r="W1005" i="23"/>
  <c r="X1005" i="23"/>
  <c r="V1006" i="23"/>
  <c r="W1006" i="23"/>
  <c r="X1006" i="23"/>
  <c r="V1007" i="23"/>
  <c r="W1007" i="23"/>
  <c r="X1007" i="23"/>
  <c r="V1008" i="23"/>
  <c r="W1008" i="23"/>
  <c r="X1008" i="23"/>
  <c r="V1009" i="23"/>
  <c r="W1009" i="23"/>
  <c r="X1009" i="23"/>
  <c r="V1010" i="23"/>
  <c r="W1010" i="23"/>
  <c r="X1010" i="23"/>
  <c r="V1011" i="23"/>
  <c r="W1011" i="23"/>
  <c r="X1011" i="23"/>
  <c r="V1012" i="23"/>
  <c r="W1012" i="23"/>
  <c r="X1012" i="23"/>
  <c r="V1013" i="23"/>
  <c r="W1013" i="23"/>
  <c r="X1013" i="23"/>
  <c r="V1014" i="23"/>
  <c r="W1014" i="23"/>
  <c r="X1014" i="23"/>
  <c r="V1015" i="23"/>
  <c r="W1015" i="23"/>
  <c r="X1015" i="23"/>
  <c r="V1016" i="23"/>
  <c r="W1016" i="23"/>
  <c r="X1016" i="23"/>
  <c r="V1017" i="23"/>
  <c r="W1017" i="23"/>
  <c r="X1017" i="23"/>
  <c r="V1018" i="23"/>
  <c r="W1018" i="23"/>
  <c r="X1018" i="23"/>
  <c r="V1019" i="23"/>
  <c r="W1019" i="23"/>
  <c r="X1019" i="23"/>
  <c r="V1020" i="23"/>
  <c r="W1020" i="23"/>
  <c r="X1020" i="23"/>
  <c r="V1021" i="23"/>
  <c r="W1021" i="23"/>
  <c r="X1021" i="23"/>
  <c r="V1022" i="23"/>
  <c r="W1022" i="23"/>
  <c r="X1022" i="23"/>
  <c r="V1023" i="23"/>
  <c r="W1023" i="23"/>
  <c r="X1023" i="23"/>
  <c r="V1024" i="23"/>
  <c r="W1024" i="23"/>
  <c r="X1024" i="23"/>
  <c r="V1025" i="23"/>
  <c r="W1025" i="23"/>
  <c r="X1025" i="23"/>
  <c r="V1026" i="23"/>
  <c r="W1026" i="23"/>
  <c r="X1026" i="23"/>
  <c r="V1027" i="23"/>
  <c r="W1027" i="23"/>
  <c r="X1027" i="23"/>
  <c r="V1028" i="23"/>
  <c r="W1028" i="23"/>
  <c r="X1028" i="23"/>
  <c r="V1029" i="23"/>
  <c r="W1029" i="23"/>
  <c r="X1029" i="23"/>
  <c r="V1030" i="23"/>
  <c r="W1030" i="23"/>
  <c r="X1030" i="23"/>
  <c r="V1031" i="23"/>
  <c r="W1031" i="23"/>
  <c r="X1031" i="23"/>
  <c r="V1032" i="23"/>
  <c r="W1032" i="23"/>
  <c r="X1032" i="23"/>
  <c r="V1033" i="23"/>
  <c r="W1033" i="23"/>
  <c r="X1033" i="23"/>
  <c r="V1034" i="23"/>
  <c r="W1034" i="23"/>
  <c r="X1034" i="23"/>
  <c r="V1035" i="23"/>
  <c r="W1035" i="23"/>
  <c r="X1035" i="23"/>
  <c r="V1036" i="23"/>
  <c r="W1036" i="23"/>
  <c r="X1036" i="23"/>
  <c r="V1037" i="23"/>
  <c r="W1037" i="23"/>
  <c r="X1037" i="23"/>
  <c r="V1038" i="23"/>
  <c r="W1038" i="23"/>
  <c r="X1038" i="23"/>
  <c r="V1039" i="23"/>
  <c r="W1039" i="23"/>
  <c r="X1039" i="23"/>
  <c r="V1040" i="23"/>
  <c r="W1040" i="23"/>
  <c r="X1040" i="23"/>
  <c r="V1041" i="23"/>
  <c r="W1041" i="23"/>
  <c r="X1041" i="23"/>
  <c r="V1042" i="23"/>
  <c r="W1042" i="23"/>
  <c r="X1042" i="23"/>
  <c r="V1043" i="23"/>
  <c r="W1043" i="23"/>
  <c r="X1043" i="23"/>
  <c r="V1044" i="23"/>
  <c r="W1044" i="23"/>
  <c r="X1044" i="23"/>
  <c r="V1045" i="23"/>
  <c r="W1045" i="23"/>
  <c r="X1045" i="23"/>
  <c r="V1046" i="23"/>
  <c r="W1046" i="23"/>
  <c r="X1046" i="23"/>
  <c r="V1047" i="23"/>
  <c r="W1047" i="23"/>
  <c r="X1047" i="23"/>
  <c r="V1048" i="23"/>
  <c r="W1048" i="23"/>
  <c r="X1048" i="23"/>
  <c r="V1049" i="23"/>
  <c r="W1049" i="23"/>
  <c r="X1049" i="23"/>
  <c r="V1050" i="23"/>
  <c r="W1050" i="23"/>
  <c r="X1050" i="23"/>
  <c r="V1051" i="23"/>
  <c r="W1051" i="23"/>
  <c r="X1051" i="23"/>
  <c r="V1052" i="23"/>
  <c r="W1052" i="23"/>
  <c r="X1052" i="23"/>
  <c r="V1053" i="23"/>
  <c r="W1053" i="23"/>
  <c r="X1053" i="23"/>
  <c r="V1054" i="23"/>
  <c r="W1054" i="23"/>
  <c r="X1054" i="23"/>
  <c r="V1055" i="23"/>
  <c r="W1055" i="23"/>
  <c r="X1055" i="23"/>
  <c r="V1056" i="23"/>
  <c r="W1056" i="23"/>
  <c r="X1056" i="23"/>
  <c r="V1057" i="23"/>
  <c r="W1057" i="23"/>
  <c r="X1057" i="23"/>
  <c r="V1058" i="23"/>
  <c r="W1058" i="23"/>
  <c r="X1058" i="23"/>
  <c r="V1059" i="23"/>
  <c r="W1059" i="23"/>
  <c r="X1059" i="23"/>
  <c r="V1060" i="23"/>
  <c r="W1060" i="23"/>
  <c r="X1060" i="23"/>
  <c r="V1061" i="23"/>
  <c r="W1061" i="23"/>
  <c r="X1061" i="23"/>
  <c r="V1062" i="23"/>
  <c r="W1062" i="23"/>
  <c r="X1062" i="23"/>
  <c r="V1063" i="23"/>
  <c r="W1063" i="23"/>
  <c r="X1063" i="23"/>
  <c r="V1064" i="23"/>
  <c r="W1064" i="23"/>
  <c r="X1064" i="23"/>
  <c r="V1065" i="23"/>
  <c r="W1065" i="23"/>
  <c r="X1065" i="23"/>
  <c r="V1066" i="23"/>
  <c r="W1066" i="23"/>
  <c r="X1066" i="23"/>
  <c r="V1067" i="23"/>
  <c r="W1067" i="23"/>
  <c r="X1067" i="23"/>
  <c r="V1068" i="23"/>
  <c r="W1068" i="23"/>
  <c r="X1068" i="23"/>
  <c r="V1069" i="23"/>
  <c r="W1069" i="23"/>
  <c r="X1069" i="23"/>
  <c r="V1070" i="23"/>
  <c r="W1070" i="23"/>
  <c r="X1070" i="23"/>
  <c r="V1071" i="23"/>
  <c r="W1071" i="23"/>
  <c r="X1071" i="23"/>
  <c r="V1072" i="23"/>
  <c r="W1072" i="23"/>
  <c r="X1072" i="23"/>
  <c r="V1073" i="23"/>
  <c r="W1073" i="23"/>
  <c r="X1073" i="23"/>
  <c r="V1074" i="23"/>
  <c r="W1074" i="23"/>
  <c r="X1074" i="23"/>
  <c r="V1075" i="23"/>
  <c r="W1075" i="23"/>
  <c r="X1075" i="23"/>
  <c r="V1076" i="23"/>
  <c r="W1076" i="23"/>
  <c r="X1076" i="23"/>
  <c r="V1077" i="23"/>
  <c r="W1077" i="23"/>
  <c r="X1077" i="23"/>
  <c r="V1078" i="23"/>
  <c r="W1078" i="23"/>
  <c r="X1078" i="23"/>
  <c r="V1079" i="23"/>
  <c r="W1079" i="23"/>
  <c r="X1079" i="23"/>
  <c r="V1080" i="23"/>
  <c r="W1080" i="23"/>
  <c r="X1080" i="23"/>
  <c r="V1081" i="23"/>
  <c r="W1081" i="23"/>
  <c r="X1081" i="23"/>
  <c r="V1082" i="23"/>
  <c r="W1082" i="23"/>
  <c r="X1082" i="23"/>
  <c r="X1084" i="23"/>
  <c r="J22" i="9"/>
  <c r="V726" i="23"/>
  <c r="W726" i="23"/>
  <c r="X726" i="23"/>
  <c r="V727" i="23"/>
  <c r="W727" i="23"/>
  <c r="X727" i="23"/>
  <c r="V728" i="23"/>
  <c r="W728" i="23"/>
  <c r="X728" i="23"/>
  <c r="V729" i="23"/>
  <c r="W729" i="23"/>
  <c r="X729" i="23"/>
  <c r="V730" i="23"/>
  <c r="W730" i="23"/>
  <c r="X730" i="23"/>
  <c r="V731" i="23"/>
  <c r="W731" i="23"/>
  <c r="X731" i="23"/>
  <c r="V732" i="23"/>
  <c r="W732" i="23"/>
  <c r="X732" i="23"/>
  <c r="V733" i="23"/>
  <c r="W733" i="23"/>
  <c r="X733" i="23"/>
  <c r="V734" i="23"/>
  <c r="W734" i="23"/>
  <c r="X734" i="23"/>
  <c r="V735" i="23"/>
  <c r="W735" i="23"/>
  <c r="X735" i="23"/>
  <c r="V736" i="23"/>
  <c r="W736" i="23"/>
  <c r="X736" i="23"/>
  <c r="V737" i="23"/>
  <c r="W737" i="23"/>
  <c r="X737" i="23"/>
  <c r="V738" i="23"/>
  <c r="W738" i="23"/>
  <c r="X738" i="23"/>
  <c r="V739" i="23"/>
  <c r="W739" i="23"/>
  <c r="X739" i="23"/>
  <c r="V740" i="23"/>
  <c r="W740" i="23"/>
  <c r="X740" i="23"/>
  <c r="V741" i="23"/>
  <c r="W741" i="23"/>
  <c r="X741" i="23"/>
  <c r="V742" i="23"/>
  <c r="W742" i="23"/>
  <c r="X742" i="23"/>
  <c r="V743" i="23"/>
  <c r="W743" i="23"/>
  <c r="X743" i="23"/>
  <c r="V744" i="23"/>
  <c r="W744" i="23"/>
  <c r="X744" i="23"/>
  <c r="V745" i="23"/>
  <c r="W745" i="23"/>
  <c r="X745" i="23"/>
  <c r="V746" i="23"/>
  <c r="W746" i="23"/>
  <c r="X746" i="23"/>
  <c r="V747" i="23"/>
  <c r="W747" i="23"/>
  <c r="X747" i="23"/>
  <c r="V748" i="23"/>
  <c r="W748" i="23"/>
  <c r="X748" i="23"/>
  <c r="V749" i="23"/>
  <c r="W749" i="23"/>
  <c r="X749" i="23"/>
  <c r="V750" i="23"/>
  <c r="W750" i="23"/>
  <c r="X750" i="23"/>
  <c r="V751" i="23"/>
  <c r="W751" i="23"/>
  <c r="X751" i="23"/>
  <c r="V752" i="23"/>
  <c r="W752" i="23"/>
  <c r="X752" i="23"/>
  <c r="V753" i="23"/>
  <c r="W753" i="23"/>
  <c r="X753" i="23"/>
  <c r="V754" i="23"/>
  <c r="W754" i="23"/>
  <c r="X754" i="23"/>
  <c r="V755" i="23"/>
  <c r="W755" i="23"/>
  <c r="X755" i="23"/>
  <c r="V756" i="23"/>
  <c r="W756" i="23"/>
  <c r="X756" i="23"/>
  <c r="V757" i="23"/>
  <c r="W757" i="23"/>
  <c r="X757" i="23"/>
  <c r="V758" i="23"/>
  <c r="W758" i="23"/>
  <c r="X758" i="23"/>
  <c r="V759" i="23"/>
  <c r="W759" i="23"/>
  <c r="X759" i="23"/>
  <c r="V760" i="23"/>
  <c r="W760" i="23"/>
  <c r="X760" i="23"/>
  <c r="V761" i="23"/>
  <c r="W761" i="23"/>
  <c r="X761" i="23"/>
  <c r="V762" i="23"/>
  <c r="W762" i="23"/>
  <c r="X762" i="23"/>
  <c r="X764" i="23"/>
  <c r="J21" i="9"/>
  <c r="V716" i="23"/>
  <c r="W716" i="23"/>
  <c r="X716" i="23"/>
  <c r="X718" i="23"/>
  <c r="J20" i="9"/>
  <c r="V705" i="23"/>
  <c r="W705" i="23"/>
  <c r="X705" i="23"/>
  <c r="X707" i="23"/>
  <c r="J19" i="9"/>
  <c r="V543" i="23"/>
  <c r="W543" i="23"/>
  <c r="X543" i="23"/>
  <c r="V544" i="23"/>
  <c r="W544" i="23"/>
  <c r="X544" i="23"/>
  <c r="V545" i="23"/>
  <c r="W545" i="23"/>
  <c r="X545" i="23"/>
  <c r="V546" i="23"/>
  <c r="W546" i="23"/>
  <c r="X546" i="23"/>
  <c r="V547" i="23"/>
  <c r="W547" i="23"/>
  <c r="X547" i="23"/>
  <c r="V548" i="23"/>
  <c r="W548" i="23"/>
  <c r="X548" i="23"/>
  <c r="V549" i="23"/>
  <c r="W549" i="23"/>
  <c r="X549" i="23"/>
  <c r="V550" i="23"/>
  <c r="W550" i="23"/>
  <c r="X550" i="23"/>
  <c r="V551" i="23"/>
  <c r="W551" i="23"/>
  <c r="X551" i="23"/>
  <c r="V552" i="23"/>
  <c r="W552" i="23"/>
  <c r="X552" i="23"/>
  <c r="V553" i="23"/>
  <c r="W553" i="23"/>
  <c r="X553" i="23"/>
  <c r="V554" i="23"/>
  <c r="W554" i="23"/>
  <c r="X554" i="23"/>
  <c r="V555" i="23"/>
  <c r="W555" i="23"/>
  <c r="X555" i="23"/>
  <c r="V556" i="23"/>
  <c r="W556" i="23"/>
  <c r="X556" i="23"/>
  <c r="V557" i="23"/>
  <c r="W557" i="23"/>
  <c r="X557" i="23"/>
  <c r="V558" i="23"/>
  <c r="W558" i="23"/>
  <c r="X558" i="23"/>
  <c r="V559" i="23"/>
  <c r="W559" i="23"/>
  <c r="X559" i="23"/>
  <c r="V560" i="23"/>
  <c r="W560" i="23"/>
  <c r="X560" i="23"/>
  <c r="V561" i="23"/>
  <c r="W561" i="23"/>
  <c r="X561" i="23"/>
  <c r="V562" i="23"/>
  <c r="W562" i="23"/>
  <c r="X562" i="23"/>
  <c r="V563" i="23"/>
  <c r="W563" i="23"/>
  <c r="X563" i="23"/>
  <c r="V564" i="23"/>
  <c r="W564" i="23"/>
  <c r="X564" i="23"/>
  <c r="V565" i="23"/>
  <c r="W565" i="23"/>
  <c r="X565" i="23"/>
  <c r="V566" i="23"/>
  <c r="W566" i="23"/>
  <c r="X566" i="23"/>
  <c r="V567" i="23"/>
  <c r="W567" i="23"/>
  <c r="X567" i="23"/>
  <c r="V568" i="23"/>
  <c r="W568" i="23"/>
  <c r="X568" i="23"/>
  <c r="V569" i="23"/>
  <c r="W569" i="23"/>
  <c r="X569" i="23"/>
  <c r="V570" i="23"/>
  <c r="W570" i="23"/>
  <c r="X570" i="23"/>
  <c r="V571" i="23"/>
  <c r="W571" i="23"/>
  <c r="X571" i="23"/>
  <c r="V572" i="23"/>
  <c r="W572" i="23"/>
  <c r="X572" i="23"/>
  <c r="V573" i="23"/>
  <c r="W573" i="23"/>
  <c r="X573" i="23"/>
  <c r="V574" i="23"/>
  <c r="W574" i="23"/>
  <c r="X574" i="23"/>
  <c r="V575" i="23"/>
  <c r="W575" i="23"/>
  <c r="X575" i="23"/>
  <c r="V576" i="23"/>
  <c r="W576" i="23"/>
  <c r="X576" i="23"/>
  <c r="V577" i="23"/>
  <c r="W577" i="23"/>
  <c r="X577" i="23"/>
  <c r="V578" i="23"/>
  <c r="W578" i="23"/>
  <c r="X578" i="23"/>
  <c r="V579" i="23"/>
  <c r="W579" i="23"/>
  <c r="X579" i="23"/>
  <c r="V580" i="23"/>
  <c r="W580" i="23"/>
  <c r="X580" i="23"/>
  <c r="V581" i="23"/>
  <c r="W581" i="23"/>
  <c r="X581" i="23"/>
  <c r="V582" i="23"/>
  <c r="W582" i="23"/>
  <c r="X582" i="23"/>
  <c r="V583" i="23"/>
  <c r="W583" i="23"/>
  <c r="X583" i="23"/>
  <c r="V584" i="23"/>
  <c r="W584" i="23"/>
  <c r="X584" i="23"/>
  <c r="V585" i="23"/>
  <c r="W585" i="23"/>
  <c r="X585" i="23"/>
  <c r="V586" i="23"/>
  <c r="W586" i="23"/>
  <c r="X586" i="23"/>
  <c r="V587" i="23"/>
  <c r="W587" i="23"/>
  <c r="X587" i="23"/>
  <c r="V588" i="23"/>
  <c r="W588" i="23"/>
  <c r="X588" i="23"/>
  <c r="V589" i="23"/>
  <c r="W589" i="23"/>
  <c r="X589" i="23"/>
  <c r="V590" i="23"/>
  <c r="W590" i="23"/>
  <c r="X590" i="23"/>
  <c r="V591" i="23"/>
  <c r="W591" i="23"/>
  <c r="X591" i="23"/>
  <c r="V592" i="23"/>
  <c r="W592" i="23"/>
  <c r="X592" i="23"/>
  <c r="V593" i="23"/>
  <c r="W593" i="23"/>
  <c r="X593" i="23"/>
  <c r="V594" i="23"/>
  <c r="W594" i="23"/>
  <c r="X594" i="23"/>
  <c r="V595" i="23"/>
  <c r="W595" i="23"/>
  <c r="X595" i="23"/>
  <c r="V596" i="23"/>
  <c r="W596" i="23"/>
  <c r="X596" i="23"/>
  <c r="V597" i="23"/>
  <c r="W597" i="23"/>
  <c r="X597" i="23"/>
  <c r="V598" i="23"/>
  <c r="W598" i="23"/>
  <c r="X598" i="23"/>
  <c r="V599" i="23"/>
  <c r="W599" i="23"/>
  <c r="X599" i="23"/>
  <c r="V600" i="23"/>
  <c r="W600" i="23"/>
  <c r="X600" i="23"/>
  <c r="V601" i="23"/>
  <c r="W601" i="23"/>
  <c r="X601" i="23"/>
  <c r="V602" i="23"/>
  <c r="W602" i="23"/>
  <c r="X602" i="23"/>
  <c r="V603" i="23"/>
  <c r="W603" i="23"/>
  <c r="X603" i="23"/>
  <c r="V604" i="23"/>
  <c r="W604" i="23"/>
  <c r="X604" i="23"/>
  <c r="V605" i="23"/>
  <c r="W605" i="23"/>
  <c r="X605" i="23"/>
  <c r="V606" i="23"/>
  <c r="W606" i="23"/>
  <c r="X606" i="23"/>
  <c r="V607" i="23"/>
  <c r="W607" i="23"/>
  <c r="X607" i="23"/>
  <c r="V608" i="23"/>
  <c r="W608" i="23"/>
  <c r="X608" i="23"/>
  <c r="V609" i="23"/>
  <c r="W609" i="23"/>
  <c r="X609" i="23"/>
  <c r="V610" i="23"/>
  <c r="W610" i="23"/>
  <c r="X610" i="23"/>
  <c r="V611" i="23"/>
  <c r="W611" i="23"/>
  <c r="X611" i="23"/>
  <c r="V612" i="23"/>
  <c r="W612" i="23"/>
  <c r="X612" i="23"/>
  <c r="V613" i="23"/>
  <c r="W613" i="23"/>
  <c r="X613" i="23"/>
  <c r="V614" i="23"/>
  <c r="W614" i="23"/>
  <c r="X614" i="23"/>
  <c r="V615" i="23"/>
  <c r="W615" i="23"/>
  <c r="X615" i="23"/>
  <c r="V616" i="23"/>
  <c r="W616" i="23"/>
  <c r="X616" i="23"/>
  <c r="V617" i="23"/>
  <c r="W617" i="23"/>
  <c r="X617" i="23"/>
  <c r="V618" i="23"/>
  <c r="W618" i="23"/>
  <c r="X618" i="23"/>
  <c r="V619" i="23"/>
  <c r="W619" i="23"/>
  <c r="X619" i="23"/>
  <c r="V620" i="23"/>
  <c r="W620" i="23"/>
  <c r="X620" i="23"/>
  <c r="V621" i="23"/>
  <c r="W621" i="23"/>
  <c r="X621" i="23"/>
  <c r="V622" i="23"/>
  <c r="W622" i="23"/>
  <c r="X622" i="23"/>
  <c r="V623" i="23"/>
  <c r="W623" i="23"/>
  <c r="X623" i="23"/>
  <c r="V624" i="23"/>
  <c r="W624" i="23"/>
  <c r="X624" i="23"/>
  <c r="V625" i="23"/>
  <c r="W625" i="23"/>
  <c r="X625" i="23"/>
  <c r="V626" i="23"/>
  <c r="W626" i="23"/>
  <c r="X626" i="23"/>
  <c r="V627" i="23"/>
  <c r="W627" i="23"/>
  <c r="X627" i="23"/>
  <c r="V628" i="23"/>
  <c r="W628" i="23"/>
  <c r="X628" i="23"/>
  <c r="V629" i="23"/>
  <c r="W629" i="23"/>
  <c r="X629" i="23"/>
  <c r="V630" i="23"/>
  <c r="W630" i="23"/>
  <c r="X630" i="23"/>
  <c r="V631" i="23"/>
  <c r="W631" i="23"/>
  <c r="X631" i="23"/>
  <c r="V632" i="23"/>
  <c r="W632" i="23"/>
  <c r="X632" i="23"/>
  <c r="V633" i="23"/>
  <c r="W633" i="23"/>
  <c r="X633" i="23"/>
  <c r="V634" i="23"/>
  <c r="W634" i="23"/>
  <c r="X634" i="23"/>
  <c r="V635" i="23"/>
  <c r="W635" i="23"/>
  <c r="X635" i="23"/>
  <c r="V636" i="23"/>
  <c r="W636" i="23"/>
  <c r="X636" i="23"/>
  <c r="V637" i="23"/>
  <c r="W637" i="23"/>
  <c r="X637" i="23"/>
  <c r="V638" i="23"/>
  <c r="W638" i="23"/>
  <c r="X638" i="23"/>
  <c r="V639" i="23"/>
  <c r="W639" i="23"/>
  <c r="X639" i="23"/>
  <c r="V640" i="23"/>
  <c r="W640" i="23"/>
  <c r="X640" i="23"/>
  <c r="V641" i="23"/>
  <c r="W641" i="23"/>
  <c r="X641" i="23"/>
  <c r="V642" i="23"/>
  <c r="W642" i="23"/>
  <c r="X642" i="23"/>
  <c r="V643" i="23"/>
  <c r="W643" i="23"/>
  <c r="X643" i="23"/>
  <c r="V644" i="23"/>
  <c r="W644" i="23"/>
  <c r="X644" i="23"/>
  <c r="V645" i="23"/>
  <c r="W645" i="23"/>
  <c r="X645" i="23"/>
  <c r="V646" i="23"/>
  <c r="W646" i="23"/>
  <c r="X646" i="23"/>
  <c r="V647" i="23"/>
  <c r="W647" i="23"/>
  <c r="X647" i="23"/>
  <c r="V648" i="23"/>
  <c r="W648" i="23"/>
  <c r="X648" i="23"/>
  <c r="V649" i="23"/>
  <c r="W649" i="23"/>
  <c r="X649" i="23"/>
  <c r="V650" i="23"/>
  <c r="W650" i="23"/>
  <c r="X650" i="23"/>
  <c r="V651" i="23"/>
  <c r="W651" i="23"/>
  <c r="X651" i="23"/>
  <c r="V652" i="23"/>
  <c r="W652" i="23"/>
  <c r="X652" i="23"/>
  <c r="V653" i="23"/>
  <c r="W653" i="23"/>
  <c r="X653" i="23"/>
  <c r="V654" i="23"/>
  <c r="W654" i="23"/>
  <c r="X654" i="23"/>
  <c r="V655" i="23"/>
  <c r="W655" i="23"/>
  <c r="X655" i="23"/>
  <c r="V656" i="23"/>
  <c r="W656" i="23"/>
  <c r="X656" i="23"/>
  <c r="V657" i="23"/>
  <c r="W657" i="23"/>
  <c r="X657" i="23"/>
  <c r="V658" i="23"/>
  <c r="W658" i="23"/>
  <c r="X658" i="23"/>
  <c r="V659" i="23"/>
  <c r="W659" i="23"/>
  <c r="X659" i="23"/>
  <c r="V660" i="23"/>
  <c r="W660" i="23"/>
  <c r="X660" i="23"/>
  <c r="V661" i="23"/>
  <c r="W661" i="23"/>
  <c r="X661" i="23"/>
  <c r="V662" i="23"/>
  <c r="W662" i="23"/>
  <c r="X662" i="23"/>
  <c r="V663" i="23"/>
  <c r="W663" i="23"/>
  <c r="X663" i="23"/>
  <c r="V664" i="23"/>
  <c r="W664" i="23"/>
  <c r="X664" i="23"/>
  <c r="V665" i="23"/>
  <c r="W665" i="23"/>
  <c r="X665" i="23"/>
  <c r="V666" i="23"/>
  <c r="W666" i="23"/>
  <c r="X666" i="23"/>
  <c r="V667" i="23"/>
  <c r="W667" i="23"/>
  <c r="X667" i="23"/>
  <c r="V668" i="23"/>
  <c r="W668" i="23"/>
  <c r="X668" i="23"/>
  <c r="V669" i="23"/>
  <c r="W669" i="23"/>
  <c r="X669" i="23"/>
  <c r="V670" i="23"/>
  <c r="W670" i="23"/>
  <c r="X670" i="23"/>
  <c r="V671" i="23"/>
  <c r="W671" i="23"/>
  <c r="X671" i="23"/>
  <c r="V672" i="23"/>
  <c r="W672" i="23"/>
  <c r="X672" i="23"/>
  <c r="V673" i="23"/>
  <c r="W673" i="23"/>
  <c r="X673" i="23"/>
  <c r="V674" i="23"/>
  <c r="W674" i="23"/>
  <c r="X674" i="23"/>
  <c r="V675" i="23"/>
  <c r="W675" i="23"/>
  <c r="X675" i="23"/>
  <c r="X677" i="23"/>
  <c r="J17" i="9"/>
  <c r="V459" i="23"/>
  <c r="W459" i="23"/>
  <c r="X459" i="23"/>
  <c r="V460" i="23"/>
  <c r="W460" i="23"/>
  <c r="X460" i="23"/>
  <c r="V461" i="23"/>
  <c r="W461" i="23"/>
  <c r="X461" i="23"/>
  <c r="V462" i="23"/>
  <c r="W462" i="23"/>
  <c r="X462" i="23"/>
  <c r="V463" i="23"/>
  <c r="W463" i="23"/>
  <c r="X463" i="23"/>
  <c r="V464" i="23"/>
  <c r="W464" i="23"/>
  <c r="X464" i="23"/>
  <c r="V465" i="23"/>
  <c r="W465" i="23"/>
  <c r="X465" i="23"/>
  <c r="V466" i="23"/>
  <c r="W466" i="23"/>
  <c r="X466" i="23"/>
  <c r="V467" i="23"/>
  <c r="W467" i="23"/>
  <c r="X467" i="23"/>
  <c r="V468" i="23"/>
  <c r="W468" i="23"/>
  <c r="X468" i="23"/>
  <c r="V469" i="23"/>
  <c r="W469" i="23"/>
  <c r="X469" i="23"/>
  <c r="V470" i="23"/>
  <c r="W470" i="23"/>
  <c r="X470" i="23"/>
  <c r="V471" i="23"/>
  <c r="W471" i="23"/>
  <c r="X471" i="23"/>
  <c r="V472" i="23"/>
  <c r="W472" i="23"/>
  <c r="X472" i="23"/>
  <c r="V473" i="23"/>
  <c r="W473" i="23"/>
  <c r="X473" i="23"/>
  <c r="V474" i="23"/>
  <c r="W474" i="23"/>
  <c r="X474" i="23"/>
  <c r="V475" i="23"/>
  <c r="W475" i="23"/>
  <c r="X475" i="23"/>
  <c r="V476" i="23"/>
  <c r="W476" i="23"/>
  <c r="X476" i="23"/>
  <c r="V477" i="23"/>
  <c r="W477" i="23"/>
  <c r="X477" i="23"/>
  <c r="V478" i="23"/>
  <c r="W478" i="23"/>
  <c r="X478" i="23"/>
  <c r="V479" i="23"/>
  <c r="W479" i="23"/>
  <c r="X479" i="23"/>
  <c r="V480" i="23"/>
  <c r="W480" i="23"/>
  <c r="X480" i="23"/>
  <c r="V481" i="23"/>
  <c r="W481" i="23"/>
  <c r="X481" i="23"/>
  <c r="V482" i="23"/>
  <c r="W482" i="23"/>
  <c r="X482" i="23"/>
  <c r="V483" i="23"/>
  <c r="W483" i="23"/>
  <c r="X483" i="23"/>
  <c r="V484" i="23"/>
  <c r="W484" i="23"/>
  <c r="X484" i="23"/>
  <c r="V485" i="23"/>
  <c r="W485" i="23"/>
  <c r="X485" i="23"/>
  <c r="V486" i="23"/>
  <c r="W486" i="23"/>
  <c r="X486" i="23"/>
  <c r="V487" i="23"/>
  <c r="W487" i="23"/>
  <c r="X487" i="23"/>
  <c r="V488" i="23"/>
  <c r="W488" i="23"/>
  <c r="X488" i="23"/>
  <c r="V489" i="23"/>
  <c r="W489" i="23"/>
  <c r="X489" i="23"/>
  <c r="V490" i="23"/>
  <c r="W490" i="23"/>
  <c r="X490" i="23"/>
  <c r="V491" i="23"/>
  <c r="W491" i="23"/>
  <c r="X491" i="23"/>
  <c r="V492" i="23"/>
  <c r="W492" i="23"/>
  <c r="X492" i="23"/>
  <c r="V493" i="23"/>
  <c r="W493" i="23"/>
  <c r="X493" i="23"/>
  <c r="V494" i="23"/>
  <c r="W494" i="23"/>
  <c r="X494" i="23"/>
  <c r="V495" i="23"/>
  <c r="W495" i="23"/>
  <c r="X495" i="23"/>
  <c r="V496" i="23"/>
  <c r="W496" i="23"/>
  <c r="X496" i="23"/>
  <c r="V497" i="23"/>
  <c r="W497" i="23"/>
  <c r="X497" i="23"/>
  <c r="V498" i="23"/>
  <c r="W498" i="23"/>
  <c r="X498" i="23"/>
  <c r="V499" i="23"/>
  <c r="W499" i="23"/>
  <c r="X499" i="23"/>
  <c r="V500" i="23"/>
  <c r="W500" i="23"/>
  <c r="X500" i="23"/>
  <c r="V501" i="23"/>
  <c r="W501" i="23"/>
  <c r="X501" i="23"/>
  <c r="V502" i="23"/>
  <c r="W502" i="23"/>
  <c r="X502" i="23"/>
  <c r="V503" i="23"/>
  <c r="W503" i="23"/>
  <c r="X503" i="23"/>
  <c r="V504" i="23"/>
  <c r="W504" i="23"/>
  <c r="X504" i="23"/>
  <c r="V505" i="23"/>
  <c r="W505" i="23"/>
  <c r="X505" i="23"/>
  <c r="V506" i="23"/>
  <c r="W506" i="23"/>
  <c r="X506" i="23"/>
  <c r="V507" i="23"/>
  <c r="W507" i="23"/>
  <c r="X507" i="23"/>
  <c r="V508" i="23"/>
  <c r="W508" i="23"/>
  <c r="X508" i="23"/>
  <c r="V509" i="23"/>
  <c r="W509" i="23"/>
  <c r="X509" i="23"/>
  <c r="V510" i="23"/>
  <c r="W510" i="23"/>
  <c r="X510" i="23"/>
  <c r="V511" i="23"/>
  <c r="W511" i="23"/>
  <c r="X511" i="23"/>
  <c r="V512" i="23"/>
  <c r="W512" i="23"/>
  <c r="X512" i="23"/>
  <c r="V513" i="23"/>
  <c r="W513" i="23"/>
  <c r="X513" i="23"/>
  <c r="V514" i="23"/>
  <c r="W514" i="23"/>
  <c r="X514" i="23"/>
  <c r="V515" i="23"/>
  <c r="W515" i="23"/>
  <c r="X515" i="23"/>
  <c r="V516" i="23"/>
  <c r="W516" i="23"/>
  <c r="X516" i="23"/>
  <c r="V517" i="23"/>
  <c r="W517" i="23"/>
  <c r="X517" i="23"/>
  <c r="V518" i="23"/>
  <c r="W518" i="23"/>
  <c r="X518" i="23"/>
  <c r="V519" i="23"/>
  <c r="W519" i="23"/>
  <c r="X519" i="23"/>
  <c r="V520" i="23"/>
  <c r="W520" i="23"/>
  <c r="X520" i="23"/>
  <c r="V521" i="23"/>
  <c r="W521" i="23"/>
  <c r="X521" i="23"/>
  <c r="V522" i="23"/>
  <c r="W522" i="23"/>
  <c r="X522" i="23"/>
  <c r="V523" i="23"/>
  <c r="W523" i="23"/>
  <c r="X523" i="23"/>
  <c r="V524" i="23"/>
  <c r="W524" i="23"/>
  <c r="X524" i="23"/>
  <c r="V525" i="23"/>
  <c r="W525" i="23"/>
  <c r="X525" i="23"/>
  <c r="V526" i="23"/>
  <c r="W526" i="23"/>
  <c r="X526" i="23"/>
  <c r="V527" i="23"/>
  <c r="W527" i="23"/>
  <c r="X527" i="23"/>
  <c r="V528" i="23"/>
  <c r="W528" i="23"/>
  <c r="X528" i="23"/>
  <c r="V529" i="23"/>
  <c r="W529" i="23"/>
  <c r="X529" i="23"/>
  <c r="V530" i="23"/>
  <c r="W530" i="23"/>
  <c r="X530" i="23"/>
  <c r="V531" i="23"/>
  <c r="W531" i="23"/>
  <c r="X531" i="23"/>
  <c r="V532" i="23"/>
  <c r="W532" i="23"/>
  <c r="X532" i="23"/>
  <c r="X534" i="23"/>
  <c r="J16" i="9"/>
  <c r="V166" i="23"/>
  <c r="W166" i="23"/>
  <c r="X166" i="23"/>
  <c r="V167" i="23"/>
  <c r="W167" i="23"/>
  <c r="X167" i="23"/>
  <c r="V168" i="23"/>
  <c r="W168" i="23"/>
  <c r="X168" i="23"/>
  <c r="V169" i="23"/>
  <c r="W169" i="23"/>
  <c r="X169" i="23"/>
  <c r="V170" i="23"/>
  <c r="W170" i="23"/>
  <c r="X170" i="23"/>
  <c r="V171" i="23"/>
  <c r="W171" i="23"/>
  <c r="X171" i="23"/>
  <c r="V172" i="23"/>
  <c r="W172" i="23"/>
  <c r="X172" i="23"/>
  <c r="V173" i="23"/>
  <c r="W173" i="23"/>
  <c r="X173" i="23"/>
  <c r="V174" i="23"/>
  <c r="W174" i="23"/>
  <c r="X174" i="23"/>
  <c r="V175" i="23"/>
  <c r="W175" i="23"/>
  <c r="X175" i="23"/>
  <c r="V176" i="23"/>
  <c r="W176" i="23"/>
  <c r="X176" i="23"/>
  <c r="V177" i="23"/>
  <c r="W177" i="23"/>
  <c r="X177" i="23"/>
  <c r="V178" i="23"/>
  <c r="W178" i="23"/>
  <c r="X178" i="23"/>
  <c r="V179" i="23"/>
  <c r="W179" i="23"/>
  <c r="X179" i="23"/>
  <c r="V180" i="23"/>
  <c r="W180" i="23"/>
  <c r="X180" i="23"/>
  <c r="V181" i="23"/>
  <c r="W181" i="23"/>
  <c r="X181" i="23"/>
  <c r="V182" i="23"/>
  <c r="W182" i="23"/>
  <c r="X182" i="23"/>
  <c r="V183" i="23"/>
  <c r="W183" i="23"/>
  <c r="X183" i="23"/>
  <c r="V184" i="23"/>
  <c r="W184" i="23"/>
  <c r="X184" i="23"/>
  <c r="V185" i="23"/>
  <c r="W185" i="23"/>
  <c r="X185" i="23"/>
  <c r="V186" i="23"/>
  <c r="W186" i="23"/>
  <c r="X186" i="23"/>
  <c r="V187" i="23"/>
  <c r="W187" i="23"/>
  <c r="X187" i="23"/>
  <c r="V188" i="23"/>
  <c r="W188" i="23"/>
  <c r="X188" i="23"/>
  <c r="V189" i="23"/>
  <c r="W189" i="23"/>
  <c r="X189" i="23"/>
  <c r="V190" i="23"/>
  <c r="W190" i="23"/>
  <c r="X190" i="23"/>
  <c r="V191" i="23"/>
  <c r="W191" i="23"/>
  <c r="X191" i="23"/>
  <c r="V192" i="23"/>
  <c r="W192" i="23"/>
  <c r="X192" i="23"/>
  <c r="V193" i="23"/>
  <c r="W193" i="23"/>
  <c r="X193" i="23"/>
  <c r="V194" i="23"/>
  <c r="W194" i="23"/>
  <c r="X194" i="23"/>
  <c r="V195" i="23"/>
  <c r="W195" i="23"/>
  <c r="X195" i="23"/>
  <c r="V196" i="23"/>
  <c r="W196" i="23"/>
  <c r="X196" i="23"/>
  <c r="V197" i="23"/>
  <c r="W197" i="23"/>
  <c r="X197" i="23"/>
  <c r="V198" i="23"/>
  <c r="W198" i="23"/>
  <c r="X198" i="23"/>
  <c r="V199" i="23"/>
  <c r="W199" i="23"/>
  <c r="X199" i="23"/>
  <c r="V200" i="23"/>
  <c r="W200" i="23"/>
  <c r="X200" i="23"/>
  <c r="V201" i="23"/>
  <c r="W201" i="23"/>
  <c r="X201" i="23"/>
  <c r="V202" i="23"/>
  <c r="W202" i="23"/>
  <c r="X202" i="23"/>
  <c r="V203" i="23"/>
  <c r="W203" i="23"/>
  <c r="X203" i="23"/>
  <c r="V204" i="23"/>
  <c r="W204" i="23"/>
  <c r="X204" i="23"/>
  <c r="V205" i="23"/>
  <c r="W205" i="23"/>
  <c r="X205" i="23"/>
  <c r="V206" i="23"/>
  <c r="W206" i="23"/>
  <c r="X206" i="23"/>
  <c r="V207" i="23"/>
  <c r="W207" i="23"/>
  <c r="X207" i="23"/>
  <c r="V208" i="23"/>
  <c r="W208" i="23"/>
  <c r="X208" i="23"/>
  <c r="V209" i="23"/>
  <c r="W209" i="23"/>
  <c r="X209" i="23"/>
  <c r="V210" i="23"/>
  <c r="W210" i="23"/>
  <c r="X210" i="23"/>
  <c r="V211" i="23"/>
  <c r="W211" i="23"/>
  <c r="X211" i="23"/>
  <c r="V212" i="23"/>
  <c r="W212" i="23"/>
  <c r="X212" i="23"/>
  <c r="V213" i="23"/>
  <c r="W213" i="23"/>
  <c r="X213" i="23"/>
  <c r="V214" i="23"/>
  <c r="W214" i="23"/>
  <c r="X214" i="23"/>
  <c r="V215" i="23"/>
  <c r="W215" i="23"/>
  <c r="X215" i="23"/>
  <c r="V216" i="23"/>
  <c r="W216" i="23"/>
  <c r="X216" i="23"/>
  <c r="V217" i="23"/>
  <c r="W217" i="23"/>
  <c r="X217" i="23"/>
  <c r="V218" i="23"/>
  <c r="W218" i="23"/>
  <c r="X218" i="23"/>
  <c r="V219" i="23"/>
  <c r="W219" i="23"/>
  <c r="X219" i="23"/>
  <c r="V220" i="23"/>
  <c r="W220" i="23"/>
  <c r="X220" i="23"/>
  <c r="V221" i="23"/>
  <c r="W221" i="23"/>
  <c r="X221" i="23"/>
  <c r="V222" i="23"/>
  <c r="W222" i="23"/>
  <c r="X222" i="23"/>
  <c r="V223" i="23"/>
  <c r="W223" i="23"/>
  <c r="X223" i="23"/>
  <c r="V224" i="23"/>
  <c r="W224" i="23"/>
  <c r="X224" i="23"/>
  <c r="V225" i="23"/>
  <c r="W225" i="23"/>
  <c r="X225" i="23"/>
  <c r="V226" i="23"/>
  <c r="W226" i="23"/>
  <c r="X226" i="23"/>
  <c r="V227" i="23"/>
  <c r="W227" i="23"/>
  <c r="X227" i="23"/>
  <c r="V228" i="23"/>
  <c r="W228" i="23"/>
  <c r="X228" i="23"/>
  <c r="V229" i="23"/>
  <c r="W229" i="23"/>
  <c r="X229" i="23"/>
  <c r="V230" i="23"/>
  <c r="W230" i="23"/>
  <c r="X230" i="23"/>
  <c r="V231" i="23"/>
  <c r="W231" i="23"/>
  <c r="X231" i="23"/>
  <c r="V232" i="23"/>
  <c r="W232" i="23"/>
  <c r="X232" i="23"/>
  <c r="V233" i="23"/>
  <c r="W233" i="23"/>
  <c r="X233" i="23"/>
  <c r="V234" i="23"/>
  <c r="W234" i="23"/>
  <c r="X234" i="23"/>
  <c r="V235" i="23"/>
  <c r="W235" i="23"/>
  <c r="X235" i="23"/>
  <c r="V236" i="23"/>
  <c r="W236" i="23"/>
  <c r="X236" i="23"/>
  <c r="V237" i="23"/>
  <c r="W237" i="23"/>
  <c r="X237" i="23"/>
  <c r="V238" i="23"/>
  <c r="W238" i="23"/>
  <c r="X238" i="23"/>
  <c r="V239" i="23"/>
  <c r="W239" i="23"/>
  <c r="X239" i="23"/>
  <c r="V240" i="23"/>
  <c r="W240" i="23"/>
  <c r="X240" i="23"/>
  <c r="V241" i="23"/>
  <c r="W241" i="23"/>
  <c r="X241" i="23"/>
  <c r="V242" i="23"/>
  <c r="W242" i="23"/>
  <c r="X242" i="23"/>
  <c r="V243" i="23"/>
  <c r="W243" i="23"/>
  <c r="X243" i="23"/>
  <c r="V244" i="23"/>
  <c r="W244" i="23"/>
  <c r="X244" i="23"/>
  <c r="V245" i="23"/>
  <c r="W245" i="23"/>
  <c r="X245" i="23"/>
  <c r="V246" i="23"/>
  <c r="W246" i="23"/>
  <c r="X246" i="23"/>
  <c r="V247" i="23"/>
  <c r="W247" i="23"/>
  <c r="X247" i="23"/>
  <c r="V248" i="23"/>
  <c r="W248" i="23"/>
  <c r="X248" i="23"/>
  <c r="V249" i="23"/>
  <c r="W249" i="23"/>
  <c r="X249" i="23"/>
  <c r="V250" i="23"/>
  <c r="W250" i="23"/>
  <c r="X250" i="23"/>
  <c r="V251" i="23"/>
  <c r="W251" i="23"/>
  <c r="X251" i="23"/>
  <c r="V252" i="23"/>
  <c r="W252" i="23"/>
  <c r="X252" i="23"/>
  <c r="V253" i="23"/>
  <c r="W253" i="23"/>
  <c r="X253" i="23"/>
  <c r="V254" i="23"/>
  <c r="W254" i="23"/>
  <c r="X254" i="23"/>
  <c r="V255" i="23"/>
  <c r="W255" i="23"/>
  <c r="X255" i="23"/>
  <c r="V256" i="23"/>
  <c r="W256" i="23"/>
  <c r="X256" i="23"/>
  <c r="V257" i="23"/>
  <c r="W257" i="23"/>
  <c r="X257" i="23"/>
  <c r="V258" i="23"/>
  <c r="W258" i="23"/>
  <c r="X258" i="23"/>
  <c r="V259" i="23"/>
  <c r="W259" i="23"/>
  <c r="X259" i="23"/>
  <c r="V260" i="23"/>
  <c r="W260" i="23"/>
  <c r="X260" i="23"/>
  <c r="V261" i="23"/>
  <c r="W261" i="23"/>
  <c r="X261" i="23"/>
  <c r="V262" i="23"/>
  <c r="W262" i="23"/>
  <c r="X262" i="23"/>
  <c r="V263" i="23"/>
  <c r="W263" i="23"/>
  <c r="X263" i="23"/>
  <c r="V264" i="23"/>
  <c r="W264" i="23"/>
  <c r="X264" i="23"/>
  <c r="V265" i="23"/>
  <c r="W265" i="23"/>
  <c r="X265" i="23"/>
  <c r="V266" i="23"/>
  <c r="W266" i="23"/>
  <c r="X266" i="23"/>
  <c r="V267" i="23"/>
  <c r="W267" i="23"/>
  <c r="X267" i="23"/>
  <c r="V268" i="23"/>
  <c r="W268" i="23"/>
  <c r="X268" i="23"/>
  <c r="V269" i="23"/>
  <c r="W269" i="23"/>
  <c r="X269" i="23"/>
  <c r="V270" i="23"/>
  <c r="W270" i="23"/>
  <c r="X270" i="23"/>
  <c r="V271" i="23"/>
  <c r="W271" i="23"/>
  <c r="X271" i="23"/>
  <c r="V272" i="23"/>
  <c r="W272" i="23"/>
  <c r="X272" i="23"/>
  <c r="V273" i="23"/>
  <c r="W273" i="23"/>
  <c r="X273" i="23"/>
  <c r="V274" i="23"/>
  <c r="W274" i="23"/>
  <c r="X274" i="23"/>
  <c r="V275" i="23"/>
  <c r="W275" i="23"/>
  <c r="X275" i="23"/>
  <c r="V276" i="23"/>
  <c r="W276" i="23"/>
  <c r="X276" i="23"/>
  <c r="V277" i="23"/>
  <c r="W277" i="23"/>
  <c r="X277" i="23"/>
  <c r="V278" i="23"/>
  <c r="W278" i="23"/>
  <c r="X278" i="23"/>
  <c r="V279" i="23"/>
  <c r="W279" i="23"/>
  <c r="X279" i="23"/>
  <c r="V280" i="23"/>
  <c r="W280" i="23"/>
  <c r="X280" i="23"/>
  <c r="V281" i="23"/>
  <c r="W281" i="23"/>
  <c r="X281" i="23"/>
  <c r="V282" i="23"/>
  <c r="W282" i="23"/>
  <c r="X282" i="23"/>
  <c r="V283" i="23"/>
  <c r="W283" i="23"/>
  <c r="X283" i="23"/>
  <c r="V284" i="23"/>
  <c r="W284" i="23"/>
  <c r="X284" i="23"/>
  <c r="V285" i="23"/>
  <c r="W285" i="23"/>
  <c r="X285" i="23"/>
  <c r="V286" i="23"/>
  <c r="W286" i="23"/>
  <c r="X286" i="23"/>
  <c r="V287" i="23"/>
  <c r="W287" i="23"/>
  <c r="X287" i="23"/>
  <c r="V288" i="23"/>
  <c r="W288" i="23"/>
  <c r="X288" i="23"/>
  <c r="V289" i="23"/>
  <c r="W289" i="23"/>
  <c r="X289" i="23"/>
  <c r="V290" i="23"/>
  <c r="W290" i="23"/>
  <c r="X290" i="23"/>
  <c r="V291" i="23"/>
  <c r="W291" i="23"/>
  <c r="X291" i="23"/>
  <c r="V292" i="23"/>
  <c r="W292" i="23"/>
  <c r="X292" i="23"/>
  <c r="V293" i="23"/>
  <c r="W293" i="23"/>
  <c r="X293" i="23"/>
  <c r="V294" i="23"/>
  <c r="W294" i="23"/>
  <c r="X294" i="23"/>
  <c r="V295" i="23"/>
  <c r="W295" i="23"/>
  <c r="X295" i="23"/>
  <c r="V296" i="23"/>
  <c r="W296" i="23"/>
  <c r="X296" i="23"/>
  <c r="V297" i="23"/>
  <c r="W297" i="23"/>
  <c r="X297" i="23"/>
  <c r="V298" i="23"/>
  <c r="W298" i="23"/>
  <c r="X298" i="23"/>
  <c r="V299" i="23"/>
  <c r="W299" i="23"/>
  <c r="X299" i="23"/>
  <c r="V300" i="23"/>
  <c r="W300" i="23"/>
  <c r="X300" i="23"/>
  <c r="V301" i="23"/>
  <c r="W301" i="23"/>
  <c r="X301" i="23"/>
  <c r="V302" i="23"/>
  <c r="W302" i="23"/>
  <c r="X302" i="23"/>
  <c r="V303" i="23"/>
  <c r="W303" i="23"/>
  <c r="X303" i="23"/>
  <c r="V304" i="23"/>
  <c r="W304" i="23"/>
  <c r="X304" i="23"/>
  <c r="V305" i="23"/>
  <c r="W305" i="23"/>
  <c r="X305" i="23"/>
  <c r="V306" i="23"/>
  <c r="W306" i="23"/>
  <c r="X306" i="23"/>
  <c r="V307" i="23"/>
  <c r="W307" i="23"/>
  <c r="X307" i="23"/>
  <c r="V308" i="23"/>
  <c r="W308" i="23"/>
  <c r="X308" i="23"/>
  <c r="V309" i="23"/>
  <c r="W309" i="23"/>
  <c r="X309" i="23"/>
  <c r="V310" i="23"/>
  <c r="W310" i="23"/>
  <c r="X310" i="23"/>
  <c r="V311" i="23"/>
  <c r="W311" i="23"/>
  <c r="X311" i="23"/>
  <c r="V312" i="23"/>
  <c r="W312" i="23"/>
  <c r="X312" i="23"/>
  <c r="V313" i="23"/>
  <c r="W313" i="23"/>
  <c r="X313" i="23"/>
  <c r="V314" i="23"/>
  <c r="W314" i="23"/>
  <c r="X314" i="23"/>
  <c r="V315" i="23"/>
  <c r="W315" i="23"/>
  <c r="X315" i="23"/>
  <c r="V316" i="23"/>
  <c r="W316" i="23"/>
  <c r="X316" i="23"/>
  <c r="V317" i="23"/>
  <c r="W317" i="23"/>
  <c r="X317" i="23"/>
  <c r="V318" i="23"/>
  <c r="W318" i="23"/>
  <c r="X318" i="23"/>
  <c r="V319" i="23"/>
  <c r="W319" i="23"/>
  <c r="X319" i="23"/>
  <c r="V320" i="23"/>
  <c r="W320" i="23"/>
  <c r="X320" i="23"/>
  <c r="V321" i="23"/>
  <c r="W321" i="23"/>
  <c r="X321" i="23"/>
  <c r="V322" i="23"/>
  <c r="W322" i="23"/>
  <c r="X322" i="23"/>
  <c r="V323" i="23"/>
  <c r="W323" i="23"/>
  <c r="X323" i="23"/>
  <c r="V324" i="23"/>
  <c r="W324" i="23"/>
  <c r="X324" i="23"/>
  <c r="V325" i="23"/>
  <c r="W325" i="23"/>
  <c r="X325" i="23"/>
  <c r="V326" i="23"/>
  <c r="W326" i="23"/>
  <c r="X326" i="23"/>
  <c r="V327" i="23"/>
  <c r="W327" i="23"/>
  <c r="X327" i="23"/>
  <c r="V328" i="23"/>
  <c r="W328" i="23"/>
  <c r="X328" i="23"/>
  <c r="V329" i="23"/>
  <c r="W329" i="23"/>
  <c r="X329" i="23"/>
  <c r="V330" i="23"/>
  <c r="W330" i="23"/>
  <c r="X330" i="23"/>
  <c r="V331" i="23"/>
  <c r="W331" i="23"/>
  <c r="X331" i="23"/>
  <c r="V332" i="23"/>
  <c r="W332" i="23"/>
  <c r="X332" i="23"/>
  <c r="V333" i="23"/>
  <c r="W333" i="23"/>
  <c r="X333" i="23"/>
  <c r="V334" i="23"/>
  <c r="W334" i="23"/>
  <c r="X334" i="23"/>
  <c r="V335" i="23"/>
  <c r="W335" i="23"/>
  <c r="X335" i="23"/>
  <c r="V336" i="23"/>
  <c r="W336" i="23"/>
  <c r="X336" i="23"/>
  <c r="V337" i="23"/>
  <c r="W337" i="23"/>
  <c r="X337" i="23"/>
  <c r="V338" i="23"/>
  <c r="W338" i="23"/>
  <c r="X338" i="23"/>
  <c r="V339" i="23"/>
  <c r="W339" i="23"/>
  <c r="X339" i="23"/>
  <c r="V340" i="23"/>
  <c r="W340" i="23"/>
  <c r="X340" i="23"/>
  <c r="V341" i="23"/>
  <c r="W341" i="23"/>
  <c r="X341" i="23"/>
  <c r="V342" i="23"/>
  <c r="W342" i="23"/>
  <c r="X342" i="23"/>
  <c r="V343" i="23"/>
  <c r="W343" i="23"/>
  <c r="X343" i="23"/>
  <c r="V344" i="23"/>
  <c r="W344" i="23"/>
  <c r="X344" i="23"/>
  <c r="V345" i="23"/>
  <c r="W345" i="23"/>
  <c r="X345" i="23"/>
  <c r="V346" i="23"/>
  <c r="W346" i="23"/>
  <c r="X346" i="23"/>
  <c r="V347" i="23"/>
  <c r="W347" i="23"/>
  <c r="X347" i="23"/>
  <c r="V348" i="23"/>
  <c r="W348" i="23"/>
  <c r="X348" i="23"/>
  <c r="V349" i="23"/>
  <c r="W349" i="23"/>
  <c r="X349" i="23"/>
  <c r="V350" i="23"/>
  <c r="W350" i="23"/>
  <c r="X350" i="23"/>
  <c r="V351" i="23"/>
  <c r="W351" i="23"/>
  <c r="X351" i="23"/>
  <c r="V352" i="23"/>
  <c r="W352" i="23"/>
  <c r="X352" i="23"/>
  <c r="V353" i="23"/>
  <c r="W353" i="23"/>
  <c r="X353" i="23"/>
  <c r="V354" i="23"/>
  <c r="W354" i="23"/>
  <c r="X354" i="23"/>
  <c r="V355" i="23"/>
  <c r="W355" i="23"/>
  <c r="X355" i="23"/>
  <c r="V356" i="23"/>
  <c r="W356" i="23"/>
  <c r="X356" i="23"/>
  <c r="V357" i="23"/>
  <c r="W357" i="23"/>
  <c r="X357" i="23"/>
  <c r="V358" i="23"/>
  <c r="W358" i="23"/>
  <c r="X358" i="23"/>
  <c r="V359" i="23"/>
  <c r="W359" i="23"/>
  <c r="X359" i="23"/>
  <c r="V360" i="23"/>
  <c r="W360" i="23"/>
  <c r="X360" i="23"/>
  <c r="V361" i="23"/>
  <c r="W361" i="23"/>
  <c r="X361" i="23"/>
  <c r="V362" i="23"/>
  <c r="W362" i="23"/>
  <c r="X362" i="23"/>
  <c r="V363" i="23"/>
  <c r="W363" i="23"/>
  <c r="X363" i="23"/>
  <c r="V364" i="23"/>
  <c r="W364" i="23"/>
  <c r="X364" i="23"/>
  <c r="V365" i="23"/>
  <c r="W365" i="23"/>
  <c r="X365" i="23"/>
  <c r="V366" i="23"/>
  <c r="W366" i="23"/>
  <c r="X366" i="23"/>
  <c r="V367" i="23"/>
  <c r="W367" i="23"/>
  <c r="X367" i="23"/>
  <c r="V368" i="23"/>
  <c r="W368" i="23"/>
  <c r="X368" i="23"/>
  <c r="V369" i="23"/>
  <c r="W369" i="23"/>
  <c r="X369" i="23"/>
  <c r="V370" i="23"/>
  <c r="W370" i="23"/>
  <c r="X370" i="23"/>
  <c r="V371" i="23"/>
  <c r="W371" i="23"/>
  <c r="X371" i="23"/>
  <c r="V372" i="23"/>
  <c r="W372" i="23"/>
  <c r="X372" i="23"/>
  <c r="V373" i="23"/>
  <c r="W373" i="23"/>
  <c r="X373" i="23"/>
  <c r="V374" i="23"/>
  <c r="W374" i="23"/>
  <c r="X374" i="23"/>
  <c r="V375" i="23"/>
  <c r="W375" i="23"/>
  <c r="X375" i="23"/>
  <c r="V376" i="23"/>
  <c r="W376" i="23"/>
  <c r="X376" i="23"/>
  <c r="V377" i="23"/>
  <c r="W377" i="23"/>
  <c r="X377" i="23"/>
  <c r="V378" i="23"/>
  <c r="W378" i="23"/>
  <c r="X378" i="23"/>
  <c r="V379" i="23"/>
  <c r="W379" i="23"/>
  <c r="X379" i="23"/>
  <c r="V380" i="23"/>
  <c r="W380" i="23"/>
  <c r="X380" i="23"/>
  <c r="V381" i="23"/>
  <c r="W381" i="23"/>
  <c r="X381" i="23"/>
  <c r="V382" i="23"/>
  <c r="W382" i="23"/>
  <c r="X382" i="23"/>
  <c r="V383" i="23"/>
  <c r="W383" i="23"/>
  <c r="X383" i="23"/>
  <c r="V384" i="23"/>
  <c r="W384" i="23"/>
  <c r="X384" i="23"/>
  <c r="V385" i="23"/>
  <c r="W385" i="23"/>
  <c r="X385" i="23"/>
  <c r="V386" i="23"/>
  <c r="W386" i="23"/>
  <c r="X386" i="23"/>
  <c r="V387" i="23"/>
  <c r="W387" i="23"/>
  <c r="X387" i="23"/>
  <c r="V388" i="23"/>
  <c r="W388" i="23"/>
  <c r="X388" i="23"/>
  <c r="V389" i="23"/>
  <c r="W389" i="23"/>
  <c r="X389" i="23"/>
  <c r="V390" i="23"/>
  <c r="W390" i="23"/>
  <c r="X390" i="23"/>
  <c r="V391" i="23"/>
  <c r="W391" i="23"/>
  <c r="X391" i="23"/>
  <c r="V392" i="23"/>
  <c r="W392" i="23"/>
  <c r="X392" i="23"/>
  <c r="V393" i="23"/>
  <c r="W393" i="23"/>
  <c r="X393" i="23"/>
  <c r="V394" i="23"/>
  <c r="W394" i="23"/>
  <c r="X394" i="23"/>
  <c r="V395" i="23"/>
  <c r="W395" i="23"/>
  <c r="X395" i="23"/>
  <c r="V396" i="23"/>
  <c r="W396" i="23"/>
  <c r="X396" i="23"/>
  <c r="V397" i="23"/>
  <c r="W397" i="23"/>
  <c r="X397" i="23"/>
  <c r="V398" i="23"/>
  <c r="W398" i="23"/>
  <c r="X398" i="23"/>
  <c r="V399" i="23"/>
  <c r="W399" i="23"/>
  <c r="X399" i="23"/>
  <c r="V400" i="23"/>
  <c r="W400" i="23"/>
  <c r="X400" i="23"/>
  <c r="V401" i="23"/>
  <c r="W401" i="23"/>
  <c r="X401" i="23"/>
  <c r="V402" i="23"/>
  <c r="W402" i="23"/>
  <c r="X402" i="23"/>
  <c r="V403" i="23"/>
  <c r="W403" i="23"/>
  <c r="X403" i="23"/>
  <c r="V404" i="23"/>
  <c r="W404" i="23"/>
  <c r="X404" i="23"/>
  <c r="V405" i="23"/>
  <c r="W405" i="23"/>
  <c r="X405" i="23"/>
  <c r="V406" i="23"/>
  <c r="W406" i="23"/>
  <c r="X406" i="23"/>
  <c r="V407" i="23"/>
  <c r="W407" i="23"/>
  <c r="X407" i="23"/>
  <c r="V408" i="23"/>
  <c r="W408" i="23"/>
  <c r="X408" i="23"/>
  <c r="V409" i="23"/>
  <c r="W409" i="23"/>
  <c r="X409" i="23"/>
  <c r="V410" i="23"/>
  <c r="W410" i="23"/>
  <c r="X410" i="23"/>
  <c r="V411" i="23"/>
  <c r="W411" i="23"/>
  <c r="X411" i="23"/>
  <c r="V412" i="23"/>
  <c r="W412" i="23"/>
  <c r="X412" i="23"/>
  <c r="V413" i="23"/>
  <c r="W413" i="23"/>
  <c r="X413" i="23"/>
  <c r="V414" i="23"/>
  <c r="W414" i="23"/>
  <c r="X414" i="23"/>
  <c r="V415" i="23"/>
  <c r="W415" i="23"/>
  <c r="X415" i="23"/>
  <c r="V416" i="23"/>
  <c r="W416" i="23"/>
  <c r="X416" i="23"/>
  <c r="V417" i="23"/>
  <c r="W417" i="23"/>
  <c r="X417" i="23"/>
  <c r="V418" i="23"/>
  <c r="W418" i="23"/>
  <c r="X418" i="23"/>
  <c r="V419" i="23"/>
  <c r="W419" i="23"/>
  <c r="X419" i="23"/>
  <c r="V420" i="23"/>
  <c r="W420" i="23"/>
  <c r="X420" i="23"/>
  <c r="V421" i="23"/>
  <c r="W421" i="23"/>
  <c r="X421" i="23"/>
  <c r="V422" i="23"/>
  <c r="W422" i="23"/>
  <c r="X422" i="23"/>
  <c r="V423" i="23"/>
  <c r="W423" i="23"/>
  <c r="X423" i="23"/>
  <c r="V424" i="23"/>
  <c r="W424" i="23"/>
  <c r="X424" i="23"/>
  <c r="V425" i="23"/>
  <c r="W425" i="23"/>
  <c r="X425" i="23"/>
  <c r="V426" i="23"/>
  <c r="W426" i="23"/>
  <c r="X426" i="23"/>
  <c r="V427" i="23"/>
  <c r="W427" i="23"/>
  <c r="X427" i="23"/>
  <c r="V428" i="23"/>
  <c r="W428" i="23"/>
  <c r="X428" i="23"/>
  <c r="V429" i="23"/>
  <c r="W429" i="23"/>
  <c r="X429" i="23"/>
  <c r="V430" i="23"/>
  <c r="W430" i="23"/>
  <c r="X430" i="23"/>
  <c r="V431" i="23"/>
  <c r="W431" i="23"/>
  <c r="X431" i="23"/>
  <c r="V432" i="23"/>
  <c r="W432" i="23"/>
  <c r="X432" i="23"/>
  <c r="V433" i="23"/>
  <c r="W433" i="23"/>
  <c r="X433" i="23"/>
  <c r="V434" i="23"/>
  <c r="W434" i="23"/>
  <c r="X434" i="23"/>
  <c r="V435" i="23"/>
  <c r="W435" i="23"/>
  <c r="X435" i="23"/>
  <c r="V436" i="23"/>
  <c r="W436" i="23"/>
  <c r="X436" i="23"/>
  <c r="V437" i="23"/>
  <c r="W437" i="23"/>
  <c r="X437" i="23"/>
  <c r="V438" i="23"/>
  <c r="W438" i="23"/>
  <c r="X438" i="23"/>
  <c r="V439" i="23"/>
  <c r="W439" i="23"/>
  <c r="X439" i="23"/>
  <c r="V440" i="23"/>
  <c r="W440" i="23"/>
  <c r="X440" i="23"/>
  <c r="V441" i="23"/>
  <c r="W441" i="23"/>
  <c r="X441" i="23"/>
  <c r="V442" i="23"/>
  <c r="W442" i="23"/>
  <c r="X442" i="23"/>
  <c r="V443" i="23"/>
  <c r="W443" i="23"/>
  <c r="X443" i="23"/>
  <c r="V444" i="23"/>
  <c r="W444" i="23"/>
  <c r="X444" i="23"/>
  <c r="V445" i="23"/>
  <c r="W445" i="23"/>
  <c r="X445" i="23"/>
  <c r="V446" i="23"/>
  <c r="W446" i="23"/>
  <c r="X446" i="23"/>
  <c r="V447" i="23"/>
  <c r="W447" i="23"/>
  <c r="X447" i="23"/>
  <c r="V448" i="23"/>
  <c r="W448" i="23"/>
  <c r="X448" i="23"/>
  <c r="V449" i="23"/>
  <c r="W449" i="23"/>
  <c r="X449" i="23"/>
  <c r="X451" i="23"/>
  <c r="J15" i="9"/>
  <c r="V76" i="23"/>
  <c r="W76" i="23"/>
  <c r="X76" i="23"/>
  <c r="V77" i="23"/>
  <c r="W77" i="23"/>
  <c r="X77" i="23"/>
  <c r="V78" i="23"/>
  <c r="W78" i="23"/>
  <c r="X78" i="23"/>
  <c r="V79" i="23"/>
  <c r="W79" i="23"/>
  <c r="X79" i="23"/>
  <c r="V80" i="23"/>
  <c r="W80" i="23"/>
  <c r="X80" i="23"/>
  <c r="V81" i="23"/>
  <c r="W81" i="23"/>
  <c r="X81" i="23"/>
  <c r="V82" i="23"/>
  <c r="W82" i="23"/>
  <c r="X82" i="23"/>
  <c r="V83" i="23"/>
  <c r="W83" i="23"/>
  <c r="X83" i="23"/>
  <c r="V84" i="23"/>
  <c r="W84" i="23"/>
  <c r="X84" i="23"/>
  <c r="V85" i="23"/>
  <c r="W85" i="23"/>
  <c r="X85" i="23"/>
  <c r="V86" i="23"/>
  <c r="W86" i="23"/>
  <c r="X86" i="23"/>
  <c r="V87" i="23"/>
  <c r="W87" i="23"/>
  <c r="X87" i="23"/>
  <c r="V88" i="23"/>
  <c r="W88" i="23"/>
  <c r="X88" i="23"/>
  <c r="V89" i="23"/>
  <c r="W89" i="23"/>
  <c r="X89" i="23"/>
  <c r="V90" i="23"/>
  <c r="W90" i="23"/>
  <c r="X90" i="23"/>
  <c r="V91" i="23"/>
  <c r="W91" i="23"/>
  <c r="X91" i="23"/>
  <c r="V92" i="23"/>
  <c r="W92" i="23"/>
  <c r="X92" i="23"/>
  <c r="V93" i="23"/>
  <c r="W93" i="23"/>
  <c r="X93" i="23"/>
  <c r="V94" i="23"/>
  <c r="W94" i="23"/>
  <c r="X94" i="23"/>
  <c r="V95" i="23"/>
  <c r="W95" i="23"/>
  <c r="X95" i="23"/>
  <c r="V96" i="23"/>
  <c r="W96" i="23"/>
  <c r="X96" i="23"/>
  <c r="V97" i="23"/>
  <c r="W97" i="23"/>
  <c r="X97" i="23"/>
  <c r="V98" i="23"/>
  <c r="W98" i="23"/>
  <c r="X98" i="23"/>
  <c r="V99" i="23"/>
  <c r="W99" i="23"/>
  <c r="X99" i="23"/>
  <c r="V100" i="23"/>
  <c r="W100" i="23"/>
  <c r="X100" i="23"/>
  <c r="V101" i="23"/>
  <c r="W101" i="23"/>
  <c r="X101" i="23"/>
  <c r="V102" i="23"/>
  <c r="W102" i="23"/>
  <c r="X102" i="23"/>
  <c r="V103" i="23"/>
  <c r="W103" i="23"/>
  <c r="X103" i="23"/>
  <c r="V104" i="23"/>
  <c r="W104" i="23"/>
  <c r="X104" i="23"/>
  <c r="V105" i="23"/>
  <c r="W105" i="23"/>
  <c r="X105" i="23"/>
  <c r="V106" i="23"/>
  <c r="W106" i="23"/>
  <c r="X106" i="23"/>
  <c r="V107" i="23"/>
  <c r="W107" i="23"/>
  <c r="X107" i="23"/>
  <c r="V108" i="23"/>
  <c r="W108" i="23"/>
  <c r="X108" i="23"/>
  <c r="V109" i="23"/>
  <c r="W109" i="23"/>
  <c r="X109" i="23"/>
  <c r="V110" i="23"/>
  <c r="W110" i="23"/>
  <c r="X110" i="23"/>
  <c r="V111" i="23"/>
  <c r="W111" i="23"/>
  <c r="X111" i="23"/>
  <c r="V112" i="23"/>
  <c r="W112" i="23"/>
  <c r="X112" i="23"/>
  <c r="V113" i="23"/>
  <c r="W113" i="23"/>
  <c r="X113" i="23"/>
  <c r="V114" i="23"/>
  <c r="W114" i="23"/>
  <c r="X114" i="23"/>
  <c r="V115" i="23"/>
  <c r="W115" i="23"/>
  <c r="X115" i="23"/>
  <c r="V116" i="23"/>
  <c r="W116" i="23"/>
  <c r="X116" i="23"/>
  <c r="V117" i="23"/>
  <c r="W117" i="23"/>
  <c r="X117" i="23"/>
  <c r="V118" i="23"/>
  <c r="W118" i="23"/>
  <c r="X118" i="23"/>
  <c r="V119" i="23"/>
  <c r="W119" i="23"/>
  <c r="X119" i="23"/>
  <c r="V120" i="23"/>
  <c r="W120" i="23"/>
  <c r="X120" i="23"/>
  <c r="V121" i="23"/>
  <c r="W121" i="23"/>
  <c r="X121" i="23"/>
  <c r="V122" i="23"/>
  <c r="W122" i="23"/>
  <c r="X122" i="23"/>
  <c r="V123" i="23"/>
  <c r="W123" i="23"/>
  <c r="X123" i="23"/>
  <c r="V124" i="23"/>
  <c r="W124" i="23"/>
  <c r="X124" i="23"/>
  <c r="V125" i="23"/>
  <c r="W125" i="23"/>
  <c r="X125" i="23"/>
  <c r="V126" i="23"/>
  <c r="W126" i="23"/>
  <c r="X126" i="23"/>
  <c r="V127" i="23"/>
  <c r="W127" i="23"/>
  <c r="X127" i="23"/>
  <c r="V128" i="23"/>
  <c r="W128" i="23"/>
  <c r="X128" i="23"/>
  <c r="V129" i="23"/>
  <c r="W129" i="23"/>
  <c r="X129" i="23"/>
  <c r="V130" i="23"/>
  <c r="W130" i="23"/>
  <c r="X130" i="23"/>
  <c r="V131" i="23"/>
  <c r="W131" i="23"/>
  <c r="X131" i="23"/>
  <c r="V132" i="23"/>
  <c r="W132" i="23"/>
  <c r="X132" i="23"/>
  <c r="V133" i="23"/>
  <c r="W133" i="23"/>
  <c r="X133" i="23"/>
  <c r="V134" i="23"/>
  <c r="W134" i="23"/>
  <c r="X134" i="23"/>
  <c r="V135" i="23"/>
  <c r="W135" i="23"/>
  <c r="X135" i="23"/>
  <c r="V136" i="23"/>
  <c r="W136" i="23"/>
  <c r="X136" i="23"/>
  <c r="V137" i="23"/>
  <c r="W137" i="23"/>
  <c r="X137" i="23"/>
  <c r="V138" i="23"/>
  <c r="W138" i="23"/>
  <c r="X138" i="23"/>
  <c r="V139" i="23"/>
  <c r="W139" i="23"/>
  <c r="X139" i="23"/>
  <c r="V140" i="23"/>
  <c r="W140" i="23"/>
  <c r="X140" i="23"/>
  <c r="V141" i="23"/>
  <c r="W141" i="23"/>
  <c r="X141" i="23"/>
  <c r="V142" i="23"/>
  <c r="W142" i="23"/>
  <c r="X142" i="23"/>
  <c r="V143" i="23"/>
  <c r="W143" i="23"/>
  <c r="X143" i="23"/>
  <c r="V144" i="23"/>
  <c r="W144" i="23"/>
  <c r="X144" i="23"/>
  <c r="V145" i="23"/>
  <c r="W145" i="23"/>
  <c r="X145" i="23"/>
  <c r="X147" i="23"/>
  <c r="J13" i="9"/>
  <c r="V65" i="23"/>
  <c r="W65" i="23"/>
  <c r="X65" i="23"/>
  <c r="V66" i="23"/>
  <c r="W66" i="23"/>
  <c r="X66" i="23"/>
  <c r="V67" i="23"/>
  <c r="W67" i="23"/>
  <c r="X67" i="23"/>
  <c r="X69" i="23"/>
  <c r="J12" i="9"/>
  <c r="V54" i="23"/>
  <c r="W54" i="23"/>
  <c r="X54" i="23"/>
  <c r="V55" i="23"/>
  <c r="W55" i="23"/>
  <c r="X55" i="23"/>
  <c r="X57" i="23"/>
  <c r="J11" i="9"/>
  <c r="B39" i="5"/>
  <c r="A9" i="5"/>
  <c r="A10" i="5"/>
  <c r="A11" i="5"/>
  <c r="A12" i="5"/>
  <c r="A13" i="5"/>
  <c r="A14" i="5"/>
  <c r="A17" i="5"/>
  <c r="A18" i="5"/>
  <c r="A19" i="5"/>
  <c r="A20" i="5"/>
  <c r="A22" i="5"/>
  <c r="A23" i="5"/>
  <c r="A24" i="5"/>
  <c r="A28" i="5"/>
  <c r="A29" i="5"/>
  <c r="A30" i="5"/>
  <c r="A31" i="5"/>
  <c r="A32" i="5"/>
  <c r="A33" i="5"/>
  <c r="A35" i="5"/>
  <c r="A36" i="5"/>
  <c r="A37" i="5"/>
  <c r="A39" i="5"/>
  <c r="A40" i="5"/>
  <c r="A41" i="5"/>
  <c r="A43" i="5"/>
  <c r="H20" i="24"/>
  <c r="H22" i="24"/>
  <c r="H40" i="24"/>
  <c r="H43" i="24"/>
  <c r="G20" i="24"/>
  <c r="G22" i="24"/>
  <c r="G39" i="24"/>
  <c r="F20" i="24"/>
  <c r="F22" i="24"/>
  <c r="I20" i="24"/>
  <c r="I22" i="24"/>
  <c r="Q2" i="15"/>
  <c r="D2" i="16"/>
  <c r="I2" i="24"/>
  <c r="G28" i="1"/>
  <c r="E28" i="1"/>
  <c r="C13" i="5"/>
  <c r="C12" i="5"/>
  <c r="C11" i="5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C9" i="5"/>
  <c r="C8" i="5"/>
  <c r="I39" i="24"/>
  <c r="I40" i="24"/>
  <c r="I43" i="24"/>
  <c r="F39" i="24"/>
  <c r="E22" i="24"/>
  <c r="F40" i="24"/>
  <c r="H39" i="24"/>
  <c r="H41" i="24"/>
  <c r="G40" i="24"/>
  <c r="G43" i="24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G9" i="5"/>
  <c r="G9" i="21"/>
  <c r="C9" i="9"/>
  <c r="G10" i="21"/>
  <c r="C10" i="9"/>
  <c r="G11" i="21"/>
  <c r="C11" i="9"/>
  <c r="G12" i="21"/>
  <c r="C12" i="9"/>
  <c r="G13" i="21"/>
  <c r="C13" i="9"/>
  <c r="G14" i="21"/>
  <c r="C14" i="9"/>
  <c r="G15" i="21"/>
  <c r="C15" i="9"/>
  <c r="G16" i="21"/>
  <c r="C16" i="9"/>
  <c r="G17" i="21"/>
  <c r="C17" i="9"/>
  <c r="G18" i="21"/>
  <c r="C18" i="9"/>
  <c r="G19" i="21"/>
  <c r="C19" i="9"/>
  <c r="G20" i="21"/>
  <c r="C20" i="9"/>
  <c r="G21" i="21"/>
  <c r="C21" i="9"/>
  <c r="G22" i="21"/>
  <c r="C22" i="9"/>
  <c r="G23" i="21"/>
  <c r="C23" i="9"/>
  <c r="G24" i="21"/>
  <c r="C24" i="9"/>
  <c r="G25" i="21"/>
  <c r="C25" i="9"/>
  <c r="C26" i="9"/>
  <c r="G8" i="5"/>
  <c r="F43" i="24"/>
  <c r="E43" i="24"/>
  <c r="E40" i="24"/>
  <c r="E39" i="24"/>
  <c r="F41" i="24"/>
  <c r="G41" i="24"/>
  <c r="I41" i="24"/>
  <c r="E41" i="24"/>
  <c r="C8" i="16"/>
  <c r="A11" i="24"/>
  <c r="A13" i="24"/>
  <c r="A15" i="24"/>
  <c r="A16" i="24"/>
  <c r="A17" i="24"/>
  <c r="A18" i="24"/>
  <c r="A19" i="24"/>
  <c r="A20" i="24"/>
  <c r="A22" i="24"/>
  <c r="A23" i="24"/>
  <c r="A28" i="24"/>
  <c r="A29" i="24"/>
  <c r="A31" i="24"/>
  <c r="A33" i="24"/>
  <c r="A34" i="24"/>
  <c r="A35" i="24"/>
  <c r="A36" i="24"/>
  <c r="A37" i="24"/>
  <c r="A39" i="24"/>
  <c r="A40" i="24"/>
  <c r="A41" i="24"/>
  <c r="A43" i="24"/>
  <c r="A44" i="24"/>
  <c r="C29" i="5"/>
  <c r="D13" i="5"/>
  <c r="C10" i="16"/>
  <c r="B4" i="24"/>
  <c r="D12" i="5"/>
  <c r="C12" i="16"/>
  <c r="C30" i="5"/>
  <c r="C11" i="16"/>
  <c r="B3" i="23"/>
  <c r="U17" i="23"/>
  <c r="V17" i="23"/>
  <c r="W17" i="23"/>
  <c r="U18" i="23"/>
  <c r="V18" i="23"/>
  <c r="W18" i="23"/>
  <c r="X18" i="23"/>
  <c r="U28" i="23"/>
  <c r="V28" i="23"/>
  <c r="W28" i="23"/>
  <c r="X28" i="23"/>
  <c r="U29" i="23"/>
  <c r="V29" i="23"/>
  <c r="W29" i="23"/>
  <c r="X29" i="23"/>
  <c r="U30" i="23"/>
  <c r="V30" i="23"/>
  <c r="W30" i="23"/>
  <c r="X30" i="23"/>
  <c r="U40" i="23"/>
  <c r="V40" i="23"/>
  <c r="W40" i="23"/>
  <c r="U41" i="23"/>
  <c r="V41" i="23"/>
  <c r="W41" i="23"/>
  <c r="U42" i="23"/>
  <c r="V42" i="23"/>
  <c r="W42" i="23"/>
  <c r="U43" i="23"/>
  <c r="V43" i="23"/>
  <c r="W43" i="23"/>
  <c r="U44" i="23"/>
  <c r="V44" i="23"/>
  <c r="W44" i="23"/>
  <c r="U45" i="23"/>
  <c r="V45" i="23"/>
  <c r="W45" i="23"/>
  <c r="U46" i="23"/>
  <c r="V46" i="23"/>
  <c r="W46" i="23"/>
  <c r="U47" i="23"/>
  <c r="V47" i="23"/>
  <c r="W47" i="23"/>
  <c r="U48" i="23"/>
  <c r="V48" i="23"/>
  <c r="W48" i="23"/>
  <c r="U49" i="23"/>
  <c r="V49" i="23"/>
  <c r="W49" i="23"/>
  <c r="U50" i="23"/>
  <c r="V50" i="23"/>
  <c r="W50" i="23"/>
  <c r="U51" i="23"/>
  <c r="V51" i="23"/>
  <c r="W51" i="23"/>
  <c r="U52" i="23"/>
  <c r="V52" i="23"/>
  <c r="W52" i="23"/>
  <c r="U53" i="23"/>
  <c r="V53" i="23"/>
  <c r="W53" i="23"/>
  <c r="U54" i="23"/>
  <c r="U55" i="23"/>
  <c r="U65" i="23"/>
  <c r="U66" i="23"/>
  <c r="U67" i="23"/>
  <c r="U76" i="23"/>
  <c r="U77" i="23"/>
  <c r="U78" i="23"/>
  <c r="U79" i="23"/>
  <c r="U80" i="23"/>
  <c r="U81" i="23"/>
  <c r="U82" i="23"/>
  <c r="U83" i="23"/>
  <c r="U84" i="23"/>
  <c r="U85" i="23"/>
  <c r="U86" i="23"/>
  <c r="U87" i="23"/>
  <c r="U88" i="23"/>
  <c r="U89" i="23"/>
  <c r="U90" i="23"/>
  <c r="U91" i="23"/>
  <c r="U92" i="23"/>
  <c r="U93" i="23"/>
  <c r="U94" i="23"/>
  <c r="U95" i="23"/>
  <c r="U96" i="23"/>
  <c r="U97" i="23"/>
  <c r="U98" i="23"/>
  <c r="U99" i="23"/>
  <c r="U100" i="23"/>
  <c r="U101" i="23"/>
  <c r="U102" i="23"/>
  <c r="U103" i="23"/>
  <c r="U104" i="23"/>
  <c r="U105" i="23"/>
  <c r="U106" i="23"/>
  <c r="U107" i="23"/>
  <c r="U108" i="23"/>
  <c r="U109" i="23"/>
  <c r="U110" i="23"/>
  <c r="U111" i="23"/>
  <c r="U112" i="23"/>
  <c r="U113" i="23"/>
  <c r="U114" i="23"/>
  <c r="U115" i="23"/>
  <c r="U116" i="23"/>
  <c r="U117" i="23"/>
  <c r="U118" i="23"/>
  <c r="U119" i="23"/>
  <c r="U120" i="23"/>
  <c r="U121" i="23"/>
  <c r="U122" i="23"/>
  <c r="U123" i="23"/>
  <c r="U124" i="23"/>
  <c r="U125" i="23"/>
  <c r="U126" i="23"/>
  <c r="U127" i="23"/>
  <c r="U128" i="23"/>
  <c r="U129" i="23"/>
  <c r="U130" i="23"/>
  <c r="U131" i="23"/>
  <c r="U132" i="23"/>
  <c r="U133" i="23"/>
  <c r="U134" i="23"/>
  <c r="U135" i="23"/>
  <c r="U136" i="23"/>
  <c r="U137" i="23"/>
  <c r="U138" i="23"/>
  <c r="U139" i="23"/>
  <c r="U140" i="23"/>
  <c r="U141" i="23"/>
  <c r="U142" i="23"/>
  <c r="U143" i="23"/>
  <c r="U144" i="23"/>
  <c r="U145" i="23"/>
  <c r="U155" i="23"/>
  <c r="V155" i="23"/>
  <c r="W155" i="23"/>
  <c r="U156" i="23"/>
  <c r="V156" i="23"/>
  <c r="W156" i="23"/>
  <c r="X156" i="23"/>
  <c r="U157" i="23"/>
  <c r="V157" i="23"/>
  <c r="W157" i="23"/>
  <c r="U166" i="23"/>
  <c r="U167" i="23"/>
  <c r="U168" i="23"/>
  <c r="U169" i="23"/>
  <c r="U170" i="23"/>
  <c r="U171" i="23"/>
  <c r="U172" i="23"/>
  <c r="U173" i="23"/>
  <c r="U174" i="23"/>
  <c r="U175" i="23"/>
  <c r="U176" i="23"/>
  <c r="U177" i="23"/>
  <c r="U178" i="23"/>
  <c r="U179" i="23"/>
  <c r="U180" i="23"/>
  <c r="U181" i="23"/>
  <c r="U182" i="23"/>
  <c r="U183" i="23"/>
  <c r="U184" i="23"/>
  <c r="U185" i="23"/>
  <c r="U186" i="23"/>
  <c r="U187" i="23"/>
  <c r="U188" i="23"/>
  <c r="U189" i="23"/>
  <c r="U190" i="23"/>
  <c r="U191" i="23"/>
  <c r="U192" i="23"/>
  <c r="U193" i="23"/>
  <c r="U194" i="23"/>
  <c r="U195" i="23"/>
  <c r="U196" i="23"/>
  <c r="U197" i="23"/>
  <c r="U198" i="23"/>
  <c r="U199" i="23"/>
  <c r="U200" i="23"/>
  <c r="U201" i="23"/>
  <c r="U202" i="23"/>
  <c r="U203" i="23"/>
  <c r="U204" i="23"/>
  <c r="U205" i="23"/>
  <c r="U206" i="23"/>
  <c r="U207" i="23"/>
  <c r="U208" i="23"/>
  <c r="U209" i="23"/>
  <c r="U210" i="23"/>
  <c r="U211" i="23"/>
  <c r="U212" i="23"/>
  <c r="U213" i="23"/>
  <c r="U214" i="23"/>
  <c r="U215" i="23"/>
  <c r="U216" i="23"/>
  <c r="U217" i="23"/>
  <c r="U218" i="23"/>
  <c r="U219" i="23"/>
  <c r="U220" i="23"/>
  <c r="U221" i="23"/>
  <c r="U222" i="23"/>
  <c r="U223" i="23"/>
  <c r="U224" i="23"/>
  <c r="U225" i="23"/>
  <c r="U226" i="23"/>
  <c r="U227" i="23"/>
  <c r="U228" i="23"/>
  <c r="U229" i="23"/>
  <c r="U230" i="23"/>
  <c r="U231" i="23"/>
  <c r="U232" i="23"/>
  <c r="U233" i="23"/>
  <c r="U234" i="23"/>
  <c r="U235" i="23"/>
  <c r="U236" i="23"/>
  <c r="U237" i="23"/>
  <c r="U238" i="23"/>
  <c r="U239" i="23"/>
  <c r="U240" i="23"/>
  <c r="U241" i="23"/>
  <c r="U242" i="23"/>
  <c r="U243" i="23"/>
  <c r="U244" i="23"/>
  <c r="U245" i="23"/>
  <c r="U246" i="23"/>
  <c r="U247" i="23"/>
  <c r="U248" i="23"/>
  <c r="U249" i="23"/>
  <c r="U250" i="23"/>
  <c r="U251" i="23"/>
  <c r="U252" i="23"/>
  <c r="U253" i="23"/>
  <c r="U254" i="23"/>
  <c r="U255" i="23"/>
  <c r="U256" i="23"/>
  <c r="U257" i="23"/>
  <c r="U258" i="23"/>
  <c r="U259" i="23"/>
  <c r="U260" i="23"/>
  <c r="U261" i="23"/>
  <c r="U262" i="23"/>
  <c r="U263" i="23"/>
  <c r="U264" i="23"/>
  <c r="U265" i="23"/>
  <c r="U266" i="23"/>
  <c r="U267" i="23"/>
  <c r="U268" i="23"/>
  <c r="U269" i="23"/>
  <c r="U270" i="23"/>
  <c r="U271" i="23"/>
  <c r="U272" i="23"/>
  <c r="U273" i="23"/>
  <c r="U274" i="23"/>
  <c r="U275" i="23"/>
  <c r="U276" i="23"/>
  <c r="U277" i="23"/>
  <c r="U278" i="23"/>
  <c r="U279" i="23"/>
  <c r="U280" i="23"/>
  <c r="U281" i="23"/>
  <c r="U282" i="23"/>
  <c r="U283" i="23"/>
  <c r="U284" i="23"/>
  <c r="U285" i="23"/>
  <c r="U286" i="23"/>
  <c r="U287" i="23"/>
  <c r="U288" i="23"/>
  <c r="U289" i="23"/>
  <c r="U290" i="23"/>
  <c r="U291" i="23"/>
  <c r="U292" i="23"/>
  <c r="U293" i="23"/>
  <c r="U294" i="23"/>
  <c r="U295" i="23"/>
  <c r="U296" i="23"/>
  <c r="U297" i="23"/>
  <c r="U298" i="23"/>
  <c r="U299" i="23"/>
  <c r="U300" i="23"/>
  <c r="U301" i="23"/>
  <c r="U302" i="23"/>
  <c r="U303" i="23"/>
  <c r="U304" i="23"/>
  <c r="U305" i="23"/>
  <c r="U306" i="23"/>
  <c r="U307" i="23"/>
  <c r="U308" i="23"/>
  <c r="U309" i="23"/>
  <c r="U310" i="23"/>
  <c r="U311" i="23"/>
  <c r="U312" i="23"/>
  <c r="U313" i="23"/>
  <c r="U314" i="23"/>
  <c r="U315" i="23"/>
  <c r="U316" i="23"/>
  <c r="U317" i="23"/>
  <c r="U318" i="23"/>
  <c r="U319" i="23"/>
  <c r="U320" i="23"/>
  <c r="U321" i="23"/>
  <c r="U322" i="23"/>
  <c r="U323" i="23"/>
  <c r="U324" i="23"/>
  <c r="U325" i="23"/>
  <c r="U326" i="23"/>
  <c r="U327" i="23"/>
  <c r="U328" i="23"/>
  <c r="U329" i="23"/>
  <c r="U330" i="23"/>
  <c r="U331" i="23"/>
  <c r="U332" i="23"/>
  <c r="U333" i="23"/>
  <c r="U334" i="23"/>
  <c r="U335" i="23"/>
  <c r="U336" i="23"/>
  <c r="U337" i="23"/>
  <c r="U338" i="23"/>
  <c r="U339" i="23"/>
  <c r="U340" i="23"/>
  <c r="U341" i="23"/>
  <c r="U342" i="23"/>
  <c r="U343" i="23"/>
  <c r="U344" i="23"/>
  <c r="U345" i="23"/>
  <c r="U346" i="23"/>
  <c r="U347" i="23"/>
  <c r="U348" i="23"/>
  <c r="U349" i="23"/>
  <c r="U350" i="23"/>
  <c r="U351" i="23"/>
  <c r="U352" i="23"/>
  <c r="U353" i="23"/>
  <c r="U354" i="23"/>
  <c r="U355" i="23"/>
  <c r="U356" i="23"/>
  <c r="U357" i="23"/>
  <c r="U358" i="23"/>
  <c r="U359" i="23"/>
  <c r="U360" i="23"/>
  <c r="U361" i="23"/>
  <c r="U362" i="23"/>
  <c r="U363" i="23"/>
  <c r="U364" i="23"/>
  <c r="U365" i="23"/>
  <c r="U366" i="23"/>
  <c r="U367" i="23"/>
  <c r="U368" i="23"/>
  <c r="U369" i="23"/>
  <c r="U370" i="23"/>
  <c r="U371" i="23"/>
  <c r="U372" i="23"/>
  <c r="U373" i="23"/>
  <c r="U374" i="23"/>
  <c r="U375" i="23"/>
  <c r="U376" i="23"/>
  <c r="U377" i="23"/>
  <c r="U378" i="23"/>
  <c r="U379" i="23"/>
  <c r="U380" i="23"/>
  <c r="U381" i="23"/>
  <c r="U382" i="23"/>
  <c r="U383" i="23"/>
  <c r="U384" i="23"/>
  <c r="U385" i="23"/>
  <c r="U386" i="23"/>
  <c r="U387" i="23"/>
  <c r="U388" i="23"/>
  <c r="U389" i="23"/>
  <c r="U390" i="23"/>
  <c r="U391" i="23"/>
  <c r="U392" i="23"/>
  <c r="U393" i="23"/>
  <c r="U394" i="23"/>
  <c r="U395" i="23"/>
  <c r="U396" i="23"/>
  <c r="U397" i="23"/>
  <c r="U398" i="23"/>
  <c r="U399" i="23"/>
  <c r="U400" i="23"/>
  <c r="U401" i="23"/>
  <c r="U402" i="23"/>
  <c r="U403" i="23"/>
  <c r="U404" i="23"/>
  <c r="U405" i="23"/>
  <c r="U406" i="23"/>
  <c r="U407" i="23"/>
  <c r="U408" i="23"/>
  <c r="U409" i="23"/>
  <c r="U410" i="23"/>
  <c r="U411" i="23"/>
  <c r="U412" i="23"/>
  <c r="U413" i="23"/>
  <c r="U414" i="23"/>
  <c r="U415" i="23"/>
  <c r="U416" i="23"/>
  <c r="U417" i="23"/>
  <c r="U418" i="23"/>
  <c r="U419" i="23"/>
  <c r="U420" i="23"/>
  <c r="U421" i="23"/>
  <c r="U422" i="23"/>
  <c r="U423" i="23"/>
  <c r="U424" i="23"/>
  <c r="U425" i="23"/>
  <c r="U426" i="23"/>
  <c r="U427" i="23"/>
  <c r="U428" i="23"/>
  <c r="U429" i="23"/>
  <c r="U430" i="23"/>
  <c r="U431" i="23"/>
  <c r="U432" i="23"/>
  <c r="U433" i="23"/>
  <c r="U434" i="23"/>
  <c r="U435" i="23"/>
  <c r="U436" i="23"/>
  <c r="U437" i="23"/>
  <c r="U438" i="23"/>
  <c r="U439" i="23"/>
  <c r="U440" i="23"/>
  <c r="U441" i="23"/>
  <c r="U442" i="23"/>
  <c r="U443" i="23"/>
  <c r="U444" i="23"/>
  <c r="U445" i="23"/>
  <c r="U446" i="23"/>
  <c r="U447" i="23"/>
  <c r="U448" i="23"/>
  <c r="U449" i="23"/>
  <c r="U459" i="23"/>
  <c r="U460" i="23"/>
  <c r="U461" i="23"/>
  <c r="U462" i="23"/>
  <c r="U463" i="23"/>
  <c r="U464" i="23"/>
  <c r="U465" i="23"/>
  <c r="U466" i="23"/>
  <c r="U467" i="23"/>
  <c r="U468" i="23"/>
  <c r="U469" i="23"/>
  <c r="U470" i="23"/>
  <c r="U471" i="23"/>
  <c r="U472" i="23"/>
  <c r="U473" i="23"/>
  <c r="U474" i="23"/>
  <c r="U475" i="23"/>
  <c r="U476" i="23"/>
  <c r="U477" i="23"/>
  <c r="U478" i="23"/>
  <c r="U479" i="23"/>
  <c r="U480" i="23"/>
  <c r="U481" i="23"/>
  <c r="U482" i="23"/>
  <c r="U483" i="23"/>
  <c r="U484" i="23"/>
  <c r="U485" i="23"/>
  <c r="U486" i="23"/>
  <c r="U487" i="23"/>
  <c r="U488" i="23"/>
  <c r="U489" i="23"/>
  <c r="U490" i="23"/>
  <c r="U491" i="23"/>
  <c r="U492" i="23"/>
  <c r="U493" i="23"/>
  <c r="U494" i="23"/>
  <c r="U495" i="23"/>
  <c r="U496" i="23"/>
  <c r="U497" i="23"/>
  <c r="U498" i="23"/>
  <c r="U499" i="23"/>
  <c r="U500" i="23"/>
  <c r="U501" i="23"/>
  <c r="U502" i="23"/>
  <c r="U503" i="23"/>
  <c r="U504" i="23"/>
  <c r="U505" i="23"/>
  <c r="U506" i="23"/>
  <c r="U507" i="23"/>
  <c r="U508" i="23"/>
  <c r="U509" i="23"/>
  <c r="U510" i="23"/>
  <c r="U511" i="23"/>
  <c r="U512" i="23"/>
  <c r="U513" i="23"/>
  <c r="U514" i="23"/>
  <c r="U515" i="23"/>
  <c r="U516" i="23"/>
  <c r="U517" i="23"/>
  <c r="U518" i="23"/>
  <c r="U519" i="23"/>
  <c r="U520" i="23"/>
  <c r="U521" i="23"/>
  <c r="U522" i="23"/>
  <c r="U523" i="23"/>
  <c r="U524" i="23"/>
  <c r="U525" i="23"/>
  <c r="U526" i="23"/>
  <c r="U527" i="23"/>
  <c r="U528" i="23"/>
  <c r="U529" i="23"/>
  <c r="U530" i="23"/>
  <c r="U531" i="23"/>
  <c r="U532" i="23"/>
  <c r="U543" i="23"/>
  <c r="U544" i="23"/>
  <c r="U545" i="23"/>
  <c r="U546" i="23"/>
  <c r="U547" i="23"/>
  <c r="U548" i="23"/>
  <c r="U549" i="23"/>
  <c r="U550" i="23"/>
  <c r="U551" i="23"/>
  <c r="U552" i="23"/>
  <c r="U553" i="23"/>
  <c r="U554" i="23"/>
  <c r="U555" i="23"/>
  <c r="U556" i="23"/>
  <c r="U557" i="23"/>
  <c r="U558" i="23"/>
  <c r="U559" i="23"/>
  <c r="U560" i="23"/>
  <c r="U561" i="23"/>
  <c r="U562" i="23"/>
  <c r="U563" i="23"/>
  <c r="U564" i="23"/>
  <c r="U565" i="23"/>
  <c r="U566" i="23"/>
  <c r="U567" i="23"/>
  <c r="U568" i="23"/>
  <c r="U569" i="23"/>
  <c r="U570" i="23"/>
  <c r="U571" i="23"/>
  <c r="U572" i="23"/>
  <c r="U573" i="23"/>
  <c r="U574" i="23"/>
  <c r="U575" i="23"/>
  <c r="U576" i="23"/>
  <c r="U577" i="23"/>
  <c r="U578" i="23"/>
  <c r="U579" i="23"/>
  <c r="U580" i="23"/>
  <c r="U581" i="23"/>
  <c r="U582" i="23"/>
  <c r="U583" i="23"/>
  <c r="U584" i="23"/>
  <c r="U585" i="23"/>
  <c r="U586" i="23"/>
  <c r="U587" i="23"/>
  <c r="U588" i="23"/>
  <c r="U589" i="23"/>
  <c r="U590" i="23"/>
  <c r="U591" i="23"/>
  <c r="U592" i="23"/>
  <c r="U593" i="23"/>
  <c r="U594" i="23"/>
  <c r="U595" i="23"/>
  <c r="U596" i="23"/>
  <c r="U597" i="23"/>
  <c r="U598" i="23"/>
  <c r="U599" i="23"/>
  <c r="U600" i="23"/>
  <c r="U601" i="23"/>
  <c r="U602" i="23"/>
  <c r="U603" i="23"/>
  <c r="U604" i="23"/>
  <c r="U605" i="23"/>
  <c r="U606" i="23"/>
  <c r="U607" i="23"/>
  <c r="U608" i="23"/>
  <c r="U609" i="23"/>
  <c r="U610" i="23"/>
  <c r="U611" i="23"/>
  <c r="U612" i="23"/>
  <c r="U613" i="23"/>
  <c r="U614" i="23"/>
  <c r="U615" i="23"/>
  <c r="U616" i="23"/>
  <c r="U617" i="23"/>
  <c r="U618" i="23"/>
  <c r="U619" i="23"/>
  <c r="U620" i="23"/>
  <c r="U621" i="23"/>
  <c r="U622" i="23"/>
  <c r="U623" i="23"/>
  <c r="U624" i="23"/>
  <c r="U625" i="23"/>
  <c r="U626" i="23"/>
  <c r="U627" i="23"/>
  <c r="U628" i="23"/>
  <c r="U629" i="23"/>
  <c r="U630" i="23"/>
  <c r="U631" i="23"/>
  <c r="U632" i="23"/>
  <c r="U633" i="23"/>
  <c r="U634" i="23"/>
  <c r="U635" i="23"/>
  <c r="U636" i="23"/>
  <c r="U637" i="23"/>
  <c r="U638" i="23"/>
  <c r="U639" i="23"/>
  <c r="U640" i="23"/>
  <c r="U641" i="23"/>
  <c r="U642" i="23"/>
  <c r="U643" i="23"/>
  <c r="U644" i="23"/>
  <c r="U645" i="23"/>
  <c r="U646" i="23"/>
  <c r="U647" i="23"/>
  <c r="U648" i="23"/>
  <c r="U649" i="23"/>
  <c r="U650" i="23"/>
  <c r="U651" i="23"/>
  <c r="U652" i="23"/>
  <c r="U653" i="23"/>
  <c r="U654" i="23"/>
  <c r="U655" i="23"/>
  <c r="U656" i="23"/>
  <c r="U657" i="23"/>
  <c r="U658" i="23"/>
  <c r="U659" i="23"/>
  <c r="U660" i="23"/>
  <c r="U661" i="23"/>
  <c r="U662" i="23"/>
  <c r="U663" i="23"/>
  <c r="U664" i="23"/>
  <c r="U665" i="23"/>
  <c r="U666" i="23"/>
  <c r="U667" i="23"/>
  <c r="U668" i="23"/>
  <c r="U669" i="23"/>
  <c r="U670" i="23"/>
  <c r="U671" i="23"/>
  <c r="U672" i="23"/>
  <c r="U673" i="23"/>
  <c r="U674" i="23"/>
  <c r="U675" i="23"/>
  <c r="U685" i="23"/>
  <c r="V685" i="23"/>
  <c r="W685" i="23"/>
  <c r="X685" i="23"/>
  <c r="U686" i="23"/>
  <c r="V686" i="23"/>
  <c r="W686" i="23"/>
  <c r="X686" i="23"/>
  <c r="U687" i="23"/>
  <c r="V687" i="23"/>
  <c r="W687" i="23"/>
  <c r="X687" i="23"/>
  <c r="U688" i="23"/>
  <c r="V688" i="23"/>
  <c r="W688" i="23"/>
  <c r="U697" i="23"/>
  <c r="V697" i="23"/>
  <c r="W697" i="23"/>
  <c r="U698" i="23"/>
  <c r="V698" i="23"/>
  <c r="W698" i="23"/>
  <c r="U699" i="23"/>
  <c r="V699" i="23"/>
  <c r="W699" i="23"/>
  <c r="U700" i="23"/>
  <c r="V700" i="23"/>
  <c r="W700" i="23"/>
  <c r="U701" i="23"/>
  <c r="V701" i="23"/>
  <c r="W701" i="23"/>
  <c r="U702" i="23"/>
  <c r="V702" i="23"/>
  <c r="W702" i="23"/>
  <c r="U703" i="23"/>
  <c r="V703" i="23"/>
  <c r="W703" i="23"/>
  <c r="U704" i="23"/>
  <c r="V704" i="23"/>
  <c r="W704" i="23"/>
  <c r="U705" i="23"/>
  <c r="U715" i="23"/>
  <c r="V715" i="23"/>
  <c r="W715" i="23"/>
  <c r="U716" i="23"/>
  <c r="U726" i="23"/>
  <c r="U727" i="23"/>
  <c r="U728" i="23"/>
  <c r="U729" i="23"/>
  <c r="U730" i="23"/>
  <c r="U731" i="23"/>
  <c r="U732" i="23"/>
  <c r="U733" i="23"/>
  <c r="U734" i="23"/>
  <c r="U735" i="23"/>
  <c r="U736" i="23"/>
  <c r="U737" i="23"/>
  <c r="U738" i="23"/>
  <c r="U739" i="23"/>
  <c r="U740" i="23"/>
  <c r="U741" i="23"/>
  <c r="U742" i="23"/>
  <c r="U743" i="23"/>
  <c r="U744" i="23"/>
  <c r="U745" i="23"/>
  <c r="U746" i="23"/>
  <c r="U747" i="23"/>
  <c r="U748" i="23"/>
  <c r="U749" i="23"/>
  <c r="U750" i="23"/>
  <c r="U751" i="23"/>
  <c r="U752" i="23"/>
  <c r="U753" i="23"/>
  <c r="U754" i="23"/>
  <c r="U755" i="23"/>
  <c r="U756" i="23"/>
  <c r="U757" i="23"/>
  <c r="U758" i="23"/>
  <c r="U759" i="23"/>
  <c r="U760" i="23"/>
  <c r="U761" i="23"/>
  <c r="U762" i="23"/>
  <c r="U772" i="23"/>
  <c r="U773" i="23"/>
  <c r="U774" i="23"/>
  <c r="U775" i="23"/>
  <c r="U776" i="23"/>
  <c r="U777" i="23"/>
  <c r="U778" i="23"/>
  <c r="U779" i="23"/>
  <c r="U780" i="23"/>
  <c r="U781" i="23"/>
  <c r="U782" i="23"/>
  <c r="U783" i="23"/>
  <c r="U784" i="23"/>
  <c r="U785" i="23"/>
  <c r="U786" i="23"/>
  <c r="U787" i="23"/>
  <c r="U788" i="23"/>
  <c r="U789" i="23"/>
  <c r="U790" i="23"/>
  <c r="U791" i="23"/>
  <c r="U792" i="23"/>
  <c r="U793" i="23"/>
  <c r="U794" i="23"/>
  <c r="U795" i="23"/>
  <c r="U796" i="23"/>
  <c r="U797" i="23"/>
  <c r="U798" i="23"/>
  <c r="U799" i="23"/>
  <c r="U800" i="23"/>
  <c r="U801" i="23"/>
  <c r="U802" i="23"/>
  <c r="U803" i="23"/>
  <c r="U804" i="23"/>
  <c r="U805" i="23"/>
  <c r="U806" i="23"/>
  <c r="U807" i="23"/>
  <c r="U808" i="23"/>
  <c r="U809" i="23"/>
  <c r="U810" i="23"/>
  <c r="U811" i="23"/>
  <c r="U812" i="23"/>
  <c r="U813" i="23"/>
  <c r="U814" i="23"/>
  <c r="U815" i="23"/>
  <c r="U816" i="23"/>
  <c r="U817" i="23"/>
  <c r="U818" i="23"/>
  <c r="U819" i="23"/>
  <c r="U820" i="23"/>
  <c r="U821" i="23"/>
  <c r="U822" i="23"/>
  <c r="U823" i="23"/>
  <c r="U824" i="23"/>
  <c r="U825" i="23"/>
  <c r="U826" i="23"/>
  <c r="U827" i="23"/>
  <c r="U828" i="23"/>
  <c r="U829" i="23"/>
  <c r="U830" i="23"/>
  <c r="U831" i="23"/>
  <c r="U832" i="23"/>
  <c r="U833" i="23"/>
  <c r="U834" i="23"/>
  <c r="U835" i="23"/>
  <c r="U836" i="23"/>
  <c r="U837" i="23"/>
  <c r="U838" i="23"/>
  <c r="U839" i="23"/>
  <c r="U840" i="23"/>
  <c r="U841" i="23"/>
  <c r="U842" i="23"/>
  <c r="U843" i="23"/>
  <c r="U844" i="23"/>
  <c r="U845" i="23"/>
  <c r="U846" i="23"/>
  <c r="U847" i="23"/>
  <c r="U848" i="23"/>
  <c r="U849" i="23"/>
  <c r="U850" i="23"/>
  <c r="U851" i="23"/>
  <c r="U852" i="23"/>
  <c r="U853" i="23"/>
  <c r="U854" i="23"/>
  <c r="U855" i="23"/>
  <c r="U856" i="23"/>
  <c r="U857" i="23"/>
  <c r="U858" i="23"/>
  <c r="U859" i="23"/>
  <c r="U860" i="23"/>
  <c r="U861" i="23"/>
  <c r="U862" i="23"/>
  <c r="U863" i="23"/>
  <c r="U864" i="23"/>
  <c r="U865" i="23"/>
  <c r="U866" i="23"/>
  <c r="U867" i="23"/>
  <c r="U868" i="23"/>
  <c r="U869" i="23"/>
  <c r="U870" i="23"/>
  <c r="U871" i="23"/>
  <c r="U872" i="23"/>
  <c r="U873" i="23"/>
  <c r="U874" i="23"/>
  <c r="U875" i="23"/>
  <c r="U876" i="23"/>
  <c r="U877" i="23"/>
  <c r="U878" i="23"/>
  <c r="U879" i="23"/>
  <c r="U880" i="23"/>
  <c r="U881" i="23"/>
  <c r="U882" i="23"/>
  <c r="U883" i="23"/>
  <c r="U884" i="23"/>
  <c r="U885" i="23"/>
  <c r="U886" i="23"/>
  <c r="U887" i="23"/>
  <c r="U888" i="23"/>
  <c r="U889" i="23"/>
  <c r="U890" i="23"/>
  <c r="U891" i="23"/>
  <c r="U892" i="23"/>
  <c r="U893" i="23"/>
  <c r="U894" i="23"/>
  <c r="U895" i="23"/>
  <c r="U896" i="23"/>
  <c r="U897" i="23"/>
  <c r="U898" i="23"/>
  <c r="U899" i="23"/>
  <c r="U900" i="23"/>
  <c r="U901" i="23"/>
  <c r="U902" i="23"/>
  <c r="U903" i="23"/>
  <c r="U904" i="23"/>
  <c r="U905" i="23"/>
  <c r="U906" i="23"/>
  <c r="U907" i="23"/>
  <c r="U908" i="23"/>
  <c r="U909" i="23"/>
  <c r="U910" i="23"/>
  <c r="U911" i="23"/>
  <c r="U912" i="23"/>
  <c r="U913" i="23"/>
  <c r="U914" i="23"/>
  <c r="U915" i="23"/>
  <c r="U916" i="23"/>
  <c r="U917" i="23"/>
  <c r="U918" i="23"/>
  <c r="U919" i="23"/>
  <c r="U920" i="23"/>
  <c r="U921" i="23"/>
  <c r="U922" i="23"/>
  <c r="U923" i="23"/>
  <c r="U924" i="23"/>
  <c r="U925" i="23"/>
  <c r="U926" i="23"/>
  <c r="U927" i="23"/>
  <c r="U928" i="23"/>
  <c r="U929" i="23"/>
  <c r="U930" i="23"/>
  <c r="U931" i="23"/>
  <c r="U932" i="23"/>
  <c r="U933" i="23"/>
  <c r="U934" i="23"/>
  <c r="U935" i="23"/>
  <c r="U936" i="23"/>
  <c r="U937" i="23"/>
  <c r="U938" i="23"/>
  <c r="U939" i="23"/>
  <c r="U940" i="23"/>
  <c r="U941" i="23"/>
  <c r="U942" i="23"/>
  <c r="U943" i="23"/>
  <c r="U944" i="23"/>
  <c r="U945" i="23"/>
  <c r="U946" i="23"/>
  <c r="U947" i="23"/>
  <c r="U948" i="23"/>
  <c r="U949" i="23"/>
  <c r="U950" i="23"/>
  <c r="U951" i="23"/>
  <c r="U952" i="23"/>
  <c r="U953" i="23"/>
  <c r="U954" i="23"/>
  <c r="U955" i="23"/>
  <c r="U956" i="23"/>
  <c r="U957" i="23"/>
  <c r="U958" i="23"/>
  <c r="U959" i="23"/>
  <c r="U960" i="23"/>
  <c r="U961" i="23"/>
  <c r="U962" i="23"/>
  <c r="U963" i="23"/>
  <c r="U964" i="23"/>
  <c r="U965" i="23"/>
  <c r="U966" i="23"/>
  <c r="U967" i="23"/>
  <c r="U968" i="23"/>
  <c r="U969" i="23"/>
  <c r="U970" i="23"/>
  <c r="U971" i="23"/>
  <c r="U972" i="23"/>
  <c r="U973" i="23"/>
  <c r="U974" i="23"/>
  <c r="U975" i="23"/>
  <c r="U976" i="23"/>
  <c r="U977" i="23"/>
  <c r="U978" i="23"/>
  <c r="U979" i="23"/>
  <c r="U980" i="23"/>
  <c r="U981" i="23"/>
  <c r="U982" i="23"/>
  <c r="U983" i="23"/>
  <c r="U984" i="23"/>
  <c r="U985" i="23"/>
  <c r="U986" i="23"/>
  <c r="U987" i="23"/>
  <c r="U988" i="23"/>
  <c r="U989" i="23"/>
  <c r="U990" i="23"/>
  <c r="U991" i="23"/>
  <c r="U992" i="23"/>
  <c r="U993" i="23"/>
  <c r="U994" i="23"/>
  <c r="U995" i="23"/>
  <c r="U996" i="23"/>
  <c r="U997" i="23"/>
  <c r="U998" i="23"/>
  <c r="U999" i="23"/>
  <c r="U1000" i="23"/>
  <c r="U1001" i="23"/>
  <c r="U1002" i="23"/>
  <c r="U1003" i="23"/>
  <c r="U1004" i="23"/>
  <c r="U1005" i="23"/>
  <c r="U1006" i="23"/>
  <c r="U1007" i="23"/>
  <c r="U1008" i="23"/>
  <c r="U1009" i="23"/>
  <c r="U1010" i="23"/>
  <c r="U1011" i="23"/>
  <c r="U1012" i="23"/>
  <c r="U1013" i="23"/>
  <c r="U1014" i="23"/>
  <c r="U1015" i="23"/>
  <c r="U1016" i="23"/>
  <c r="U1017" i="23"/>
  <c r="U1018" i="23"/>
  <c r="U1019" i="23"/>
  <c r="U1020" i="23"/>
  <c r="U1021" i="23"/>
  <c r="U1022" i="23"/>
  <c r="U1023" i="23"/>
  <c r="U1024" i="23"/>
  <c r="U1025" i="23"/>
  <c r="U1026" i="23"/>
  <c r="U1027" i="23"/>
  <c r="U1028" i="23"/>
  <c r="U1029" i="23"/>
  <c r="U1030" i="23"/>
  <c r="U1031" i="23"/>
  <c r="U1032" i="23"/>
  <c r="U1033" i="23"/>
  <c r="U1034" i="23"/>
  <c r="U1035" i="23"/>
  <c r="U1036" i="23"/>
  <c r="U1037" i="23"/>
  <c r="U1038" i="23"/>
  <c r="U1039" i="23"/>
  <c r="U1040" i="23"/>
  <c r="U1041" i="23"/>
  <c r="U1042" i="23"/>
  <c r="U1043" i="23"/>
  <c r="U1044" i="23"/>
  <c r="U1045" i="23"/>
  <c r="U1046" i="23"/>
  <c r="U1047" i="23"/>
  <c r="U1048" i="23"/>
  <c r="U1049" i="23"/>
  <c r="U1050" i="23"/>
  <c r="U1051" i="23"/>
  <c r="U1052" i="23"/>
  <c r="U1053" i="23"/>
  <c r="U1054" i="23"/>
  <c r="U1055" i="23"/>
  <c r="U1056" i="23"/>
  <c r="U1057" i="23"/>
  <c r="U1058" i="23"/>
  <c r="U1059" i="23"/>
  <c r="U1060" i="23"/>
  <c r="U1061" i="23"/>
  <c r="U1062" i="23"/>
  <c r="U1063" i="23"/>
  <c r="U1064" i="23"/>
  <c r="U1065" i="23"/>
  <c r="U1066" i="23"/>
  <c r="U1067" i="23"/>
  <c r="U1068" i="23"/>
  <c r="U1069" i="23"/>
  <c r="U1070" i="23"/>
  <c r="U1071" i="23"/>
  <c r="U1072" i="23"/>
  <c r="U1073" i="23"/>
  <c r="U1074" i="23"/>
  <c r="U1075" i="23"/>
  <c r="U1076" i="23"/>
  <c r="U1077" i="23"/>
  <c r="U1078" i="23"/>
  <c r="U1079" i="23"/>
  <c r="U1080" i="23"/>
  <c r="U1081" i="23"/>
  <c r="U1082" i="23"/>
  <c r="U1083" i="23"/>
  <c r="V1083" i="23"/>
  <c r="W1083" i="23"/>
  <c r="X1083" i="23"/>
  <c r="U1092" i="23"/>
  <c r="U1093" i="23"/>
  <c r="U1094" i="23"/>
  <c r="U1095" i="23"/>
  <c r="U1096" i="23"/>
  <c r="U1097" i="23"/>
  <c r="U1098" i="23"/>
  <c r="U1099" i="23"/>
  <c r="U1100" i="23"/>
  <c r="U1101" i="23"/>
  <c r="U1102" i="23"/>
  <c r="U1103" i="23"/>
  <c r="U1104" i="23"/>
  <c r="U1105" i="23"/>
  <c r="U1106" i="23"/>
  <c r="U1107" i="23"/>
  <c r="U1108" i="23"/>
  <c r="U1109" i="23"/>
  <c r="U1110" i="23"/>
  <c r="U1111" i="23"/>
  <c r="U1112" i="23"/>
  <c r="U1113" i="23"/>
  <c r="U1114" i="23"/>
  <c r="V1114" i="23"/>
  <c r="W1114" i="23"/>
  <c r="U1123" i="23"/>
  <c r="V1123" i="23"/>
  <c r="W1123" i="23"/>
  <c r="U1124" i="23"/>
  <c r="V1124" i="23"/>
  <c r="W1124" i="23"/>
  <c r="U1125" i="23"/>
  <c r="V1125" i="23"/>
  <c r="W1125" i="23"/>
  <c r="U1126" i="23"/>
  <c r="V1126" i="23"/>
  <c r="W1126" i="23"/>
  <c r="U1127" i="23"/>
  <c r="V1127" i="23"/>
  <c r="W1127" i="23"/>
  <c r="U1128" i="23"/>
  <c r="V1128" i="23"/>
  <c r="W1128" i="23"/>
  <c r="U1129" i="23"/>
  <c r="V1129" i="23"/>
  <c r="W1129" i="23"/>
  <c r="U1130" i="23"/>
  <c r="V1130" i="23"/>
  <c r="W1130" i="23"/>
  <c r="U1131" i="23"/>
  <c r="V1131" i="23"/>
  <c r="W1131" i="23"/>
  <c r="U1132" i="23"/>
  <c r="V1132" i="23"/>
  <c r="W1132" i="23"/>
  <c r="U1133" i="23"/>
  <c r="V1133" i="23"/>
  <c r="W1133" i="23"/>
  <c r="U1134" i="23"/>
  <c r="U1135" i="23"/>
  <c r="U1136" i="23"/>
  <c r="U1137" i="23"/>
  <c r="U1138" i="23"/>
  <c r="U1139" i="23"/>
  <c r="V1139" i="23"/>
  <c r="W1139" i="23"/>
  <c r="U1148" i="23"/>
  <c r="V1148" i="23"/>
  <c r="W1148" i="23"/>
  <c r="U1149" i="23"/>
  <c r="V1149" i="23"/>
  <c r="W1149" i="23"/>
  <c r="U1150" i="23"/>
  <c r="V1150" i="23"/>
  <c r="W1150" i="23"/>
  <c r="U1151" i="23"/>
  <c r="V1151" i="23"/>
  <c r="W1151" i="23"/>
  <c r="U1152" i="23"/>
  <c r="V1152" i="23"/>
  <c r="W1152" i="23"/>
  <c r="U1153" i="23"/>
  <c r="V1153" i="23"/>
  <c r="W1153" i="23"/>
  <c r="U1154" i="23"/>
  <c r="V1154" i="23"/>
  <c r="W1154" i="23"/>
  <c r="U1155" i="23"/>
  <c r="V1155" i="23"/>
  <c r="W1155" i="23"/>
  <c r="U1156" i="23"/>
  <c r="V1156" i="23"/>
  <c r="W1156" i="23"/>
  <c r="U1157" i="23"/>
  <c r="V1157" i="23"/>
  <c r="W1157" i="23"/>
  <c r="U1158" i="23"/>
  <c r="V1158" i="23"/>
  <c r="W1158" i="23"/>
  <c r="U1159" i="23"/>
  <c r="V1159" i="23"/>
  <c r="W1159" i="23"/>
  <c r="U1160" i="23"/>
  <c r="V1160" i="23"/>
  <c r="W1160" i="23"/>
  <c r="U1161" i="23"/>
  <c r="V1161" i="23"/>
  <c r="W1161" i="23"/>
  <c r="U1162" i="23"/>
  <c r="U1163" i="23"/>
  <c r="V1163" i="23"/>
  <c r="W1163" i="23"/>
  <c r="U1164" i="23"/>
  <c r="V1164" i="23"/>
  <c r="W1164" i="23"/>
  <c r="U1165" i="23"/>
  <c r="U1166" i="23"/>
  <c r="U1167" i="23"/>
  <c r="U1168" i="23"/>
  <c r="U1169" i="23"/>
  <c r="U1170" i="23"/>
  <c r="U1171" i="23"/>
  <c r="U1172" i="23"/>
  <c r="E19" i="9"/>
  <c r="F19" i="9"/>
  <c r="E23" i="9"/>
  <c r="F23" i="9"/>
  <c r="E17" i="9"/>
  <c r="E18" i="9"/>
  <c r="E20" i="9"/>
  <c r="E21" i="9"/>
  <c r="E22" i="9"/>
  <c r="E24" i="9"/>
  <c r="E25" i="9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W764" i="23"/>
  <c r="X32" i="23"/>
  <c r="W718" i="23"/>
  <c r="W1115" i="23"/>
  <c r="W69" i="23"/>
  <c r="W32" i="23"/>
  <c r="W1140" i="23"/>
  <c r="W1174" i="23"/>
  <c r="X689" i="23"/>
  <c r="W1084" i="23"/>
  <c r="W689" i="23"/>
  <c r="W451" i="23"/>
  <c r="W707" i="23"/>
  <c r="W677" i="23"/>
  <c r="W534" i="23"/>
  <c r="W147" i="23"/>
  <c r="X17" i="23"/>
  <c r="X20" i="23"/>
  <c r="W20" i="23"/>
  <c r="X155" i="23"/>
  <c r="X158" i="23"/>
  <c r="W158" i="23"/>
  <c r="W57" i="23"/>
  <c r="G18" i="9"/>
  <c r="F18" i="9"/>
  <c r="H18" i="9"/>
  <c r="G23" i="9"/>
  <c r="H23" i="9"/>
  <c r="K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G22" i="9"/>
  <c r="F22" i="9"/>
  <c r="H22" i="9"/>
  <c r="K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F21" i="9"/>
  <c r="G21" i="9"/>
  <c r="G24" i="9"/>
  <c r="F24" i="9"/>
  <c r="H24" i="9"/>
  <c r="K24" i="9"/>
  <c r="M24" i="9"/>
  <c r="G20" i="9"/>
  <c r="F20" i="9"/>
  <c r="H20" i="9"/>
  <c r="K20" i="9"/>
  <c r="M20" i="9"/>
  <c r="N20" i="9"/>
  <c r="O20" i="9"/>
  <c r="G19" i="9"/>
  <c r="H19" i="9"/>
  <c r="K19" i="9"/>
  <c r="M19" i="9"/>
  <c r="N19" i="9"/>
  <c r="N24" i="9"/>
  <c r="H21" i="9"/>
  <c r="K21" i="9"/>
  <c r="M21" i="9"/>
  <c r="N21" i="9"/>
  <c r="O21" i="9"/>
  <c r="P21" i="9"/>
  <c r="Q21" i="9"/>
  <c r="R21" i="9"/>
  <c r="S21" i="9"/>
  <c r="T21" i="9"/>
  <c r="U21" i="9"/>
  <c r="V21" i="9"/>
  <c r="W21" i="9"/>
  <c r="X21" i="9"/>
  <c r="L2" i="9"/>
  <c r="B4" i="9"/>
  <c r="B4" i="22"/>
  <c r="G2" i="22"/>
  <c r="C26" i="22"/>
  <c r="E26" i="22"/>
  <c r="B4" i="21"/>
  <c r="G2" i="21"/>
  <c r="C26" i="21"/>
  <c r="E26" i="21"/>
  <c r="B4" i="15"/>
  <c r="C14" i="5"/>
  <c r="D11" i="5"/>
  <c r="B4" i="14"/>
  <c r="Q2" i="14"/>
  <c r="A1" i="11"/>
  <c r="B4" i="5"/>
  <c r="B4" i="16"/>
  <c r="E2" i="5"/>
  <c r="H2" i="1"/>
  <c r="B4" i="1"/>
  <c r="Y21" i="9"/>
  <c r="O24" i="9"/>
  <c r="C7" i="16"/>
  <c r="C13" i="16"/>
  <c r="C15" i="16"/>
  <c r="C39" i="5"/>
  <c r="C41" i="5"/>
  <c r="C28" i="5"/>
  <c r="C31" i="5"/>
  <c r="C33" i="5"/>
  <c r="C35" i="5"/>
  <c r="D28" i="5"/>
  <c r="D29" i="5"/>
  <c r="D30" i="5"/>
  <c r="D31" i="5"/>
  <c r="D33" i="5"/>
  <c r="C36" i="5"/>
  <c r="C37" i="5"/>
  <c r="C43" i="5"/>
  <c r="G26" i="21"/>
  <c r="Z21" i="9"/>
  <c r="P24" i="9"/>
  <c r="C17" i="5"/>
  <c r="D14" i="11"/>
  <c r="D7" i="11"/>
  <c r="D6" i="1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4" i="9"/>
  <c r="A25" i="9"/>
  <c r="A26" i="9"/>
  <c r="A27" i="9"/>
  <c r="A8" i="16"/>
  <c r="A9" i="16"/>
  <c r="A10" i="16"/>
  <c r="A11" i="16"/>
  <c r="A12" i="16"/>
  <c r="A13" i="16"/>
  <c r="A14" i="16"/>
  <c r="A15" i="16"/>
  <c r="D9" i="5"/>
  <c r="AA21" i="9"/>
  <c r="Q24" i="9"/>
  <c r="AB21" i="9"/>
  <c r="R24" i="9"/>
  <c r="AC21" i="9"/>
  <c r="S24" i="9"/>
  <c r="AD21" i="9"/>
  <c r="T24" i="9"/>
  <c r="D8" i="5"/>
  <c r="D14" i="5"/>
  <c r="E10" i="9"/>
  <c r="F10" i="9"/>
  <c r="E15" i="9"/>
  <c r="G15" i="9"/>
  <c r="E9" i="9"/>
  <c r="U24" i="9"/>
  <c r="G10" i="9"/>
  <c r="H10" i="9"/>
  <c r="F15" i="9"/>
  <c r="H15" i="9"/>
  <c r="K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G25" i="9"/>
  <c r="F25" i="9"/>
  <c r="F9" i="9"/>
  <c r="G9" i="9"/>
  <c r="AD15" i="9"/>
  <c r="V24" i="9"/>
  <c r="H25" i="9"/>
  <c r="K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H9" i="9"/>
  <c r="AE15" i="9"/>
  <c r="W24" i="9"/>
  <c r="C18" i="5"/>
  <c r="C20" i="5"/>
  <c r="C23" i="5"/>
  <c r="C24" i="5"/>
  <c r="AF15" i="9"/>
  <c r="D17" i="5"/>
  <c r="AG15" i="9"/>
  <c r="D18" i="5"/>
  <c r="D20" i="5"/>
  <c r="AH15" i="9"/>
  <c r="E13" i="9"/>
  <c r="E16" i="9"/>
  <c r="F16" i="9"/>
  <c r="E14" i="9"/>
  <c r="E12" i="9"/>
  <c r="E11" i="9"/>
  <c r="G16" i="9"/>
  <c r="H16" i="9"/>
  <c r="K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F14" i="9"/>
  <c r="G14" i="9"/>
  <c r="G11" i="9"/>
  <c r="F11" i="9"/>
  <c r="E26" i="9"/>
  <c r="G12" i="9"/>
  <c r="F12" i="9"/>
  <c r="G13" i="9"/>
  <c r="F13" i="9"/>
  <c r="F17" i="9"/>
  <c r="G17" i="9"/>
  <c r="AD16" i="9"/>
  <c r="H13" i="9"/>
  <c r="K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H17" i="9"/>
  <c r="K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B26" i="9"/>
  <c r="H11" i="9"/>
  <c r="K11" i="9"/>
  <c r="M11" i="9"/>
  <c r="F26" i="9"/>
  <c r="AC17" i="9"/>
  <c r="AD17" i="9"/>
  <c r="AE17" i="9"/>
  <c r="AF17" i="9"/>
  <c r="AG17" i="9"/>
  <c r="AH17" i="9"/>
  <c r="AI17" i="9"/>
  <c r="G26" i="9"/>
  <c r="H12" i="9"/>
  <c r="K12" i="9"/>
  <c r="M12" i="9"/>
  <c r="N12" i="9"/>
  <c r="O12" i="9"/>
  <c r="P12" i="9"/>
  <c r="Q12" i="9"/>
  <c r="R12" i="9"/>
  <c r="S12" i="9"/>
  <c r="T12" i="9"/>
  <c r="U12" i="9"/>
  <c r="V12" i="9"/>
  <c r="H14" i="9"/>
  <c r="AJ17" i="9"/>
  <c r="AI26" i="9"/>
  <c r="AC26" i="9"/>
  <c r="AE16" i="9"/>
  <c r="AD26" i="9"/>
  <c r="W12" i="9"/>
  <c r="V26" i="9"/>
  <c r="N11" i="9"/>
  <c r="M26" i="9"/>
  <c r="K26" i="9"/>
  <c r="H26" i="9"/>
  <c r="K27" i="9"/>
  <c r="AK17" i="9"/>
  <c r="AJ26" i="9"/>
  <c r="AF16" i="9"/>
  <c r="AE26" i="9"/>
  <c r="X12" i="9"/>
  <c r="W26" i="9"/>
  <c r="O11" i="9"/>
  <c r="N26" i="9"/>
  <c r="AK26" i="9"/>
  <c r="AL17" i="9"/>
  <c r="AL26" i="9"/>
  <c r="AG16" i="9"/>
  <c r="AF26" i="9"/>
  <c r="Y12" i="9"/>
  <c r="X26" i="9"/>
  <c r="P11" i="9"/>
  <c r="O26" i="9"/>
  <c r="AH16" i="9"/>
  <c r="AH26" i="9"/>
  <c r="AG26" i="9"/>
  <c r="Z12" i="9"/>
  <c r="Y26" i="9"/>
  <c r="Q11" i="9"/>
  <c r="P26" i="9"/>
  <c r="AA12" i="9"/>
  <c r="AA26" i="9"/>
  <c r="Z26" i="9"/>
  <c r="R11" i="9"/>
  <c r="Q26" i="9"/>
  <c r="S11" i="9"/>
  <c r="R26" i="9"/>
  <c r="T11" i="9"/>
  <c r="S26" i="9"/>
  <c r="U11" i="9"/>
  <c r="U26" i="9"/>
  <c r="T26" i="9"/>
</calcChain>
</file>

<file path=xl/sharedStrings.xml><?xml version="1.0" encoding="utf-8"?>
<sst xmlns="http://schemas.openxmlformats.org/spreadsheetml/2006/main" count="2788" uniqueCount="524">
  <si>
    <t>South Eastern Indiana Natural Gas</t>
  </si>
  <si>
    <t>EXHIBITS</t>
  </si>
  <si>
    <t>CAUSE NO. 45032-S13</t>
  </si>
  <si>
    <t>TABLE OF CONTENTS</t>
  </si>
  <si>
    <t>Exhibit 1</t>
  </si>
  <si>
    <t>Page 1</t>
  </si>
  <si>
    <t>Page 2</t>
  </si>
  <si>
    <t>Page 3</t>
  </si>
  <si>
    <t>Accumulated Depreciation Federal Tax Balance @ 12/31/17</t>
  </si>
  <si>
    <t>Page 4</t>
  </si>
  <si>
    <t>Accumulated Depreciation State Tax Balance @ 12/31/17</t>
  </si>
  <si>
    <t>Page 5</t>
  </si>
  <si>
    <t>State Deferred Tax Estimate</t>
  </si>
  <si>
    <t>Page 6</t>
  </si>
  <si>
    <t xml:space="preserve">Deferred Income Tax </t>
  </si>
  <si>
    <t>Exhibit 2</t>
  </si>
  <si>
    <t xml:space="preserve">Depreciation Expense - Book </t>
  </si>
  <si>
    <t xml:space="preserve">Depreciation Expense - Federal  </t>
  </si>
  <si>
    <t>Page 4 - 15</t>
  </si>
  <si>
    <t>Remaining Lives Calculation</t>
  </si>
  <si>
    <t>Exhibit 3</t>
  </si>
  <si>
    <t>Refundable Excess Deferred Income Taxes Calculation</t>
  </si>
  <si>
    <t>Deferred Tax at 34%</t>
  </si>
  <si>
    <t>Deferred Tax at 21%</t>
  </si>
  <si>
    <t>Exhibit 4</t>
  </si>
  <si>
    <t>Summary of Revenue Over Collection</t>
  </si>
  <si>
    <t>Calculation of Revenue Refund Tracker</t>
  </si>
  <si>
    <t>Page 3 -6</t>
  </si>
  <si>
    <t>Monthly Revenue Over Collection</t>
  </si>
  <si>
    <t xml:space="preserve">EXHIBIT 1 </t>
  </si>
  <si>
    <t>PAGE 1</t>
  </si>
  <si>
    <t>Deferred Tax Asset/Liability</t>
  </si>
  <si>
    <t xml:space="preserve">Line </t>
  </si>
  <si>
    <t>After Tax Act</t>
  </si>
  <si>
    <t>Prior to Tax Act</t>
  </si>
  <si>
    <t>Net Book Value,  Exhibit 1 Page 2</t>
  </si>
  <si>
    <t>proof</t>
  </si>
  <si>
    <t>Plant Costs per Federal Depr Report, Exhibit 1 Page 3</t>
  </si>
  <si>
    <t>Other Adjustments (Exhibit 1 Page 6):</t>
  </si>
  <si>
    <t>Accrued Wages</t>
  </si>
  <si>
    <t xml:space="preserve">Unamortized Rate Case </t>
  </si>
  <si>
    <t>Unbilled Revenue</t>
  </si>
  <si>
    <t>Difference in NBV ((Sum Line 2 - 7 )- Line 1))</t>
  </si>
  <si>
    <t>State Deferred Tax Estimate, Exhibit 1 Page 5</t>
  </si>
  <si>
    <t>NBV less State Deferred Tax Estimate (Line 8 - Line 9)</t>
  </si>
  <si>
    <t>Tax Rate</t>
  </si>
  <si>
    <t>Current Period Deferred (Line 10 * Line 11)</t>
  </si>
  <si>
    <t>Deferred Tax under old rate</t>
  </si>
  <si>
    <t>Deferred Tax under new rate (Line 11)</t>
  </si>
  <si>
    <t>Reg Liability (Line 12 + Line 13)</t>
  </si>
  <si>
    <t>Unprotected Accumulated Deferred Income Tax ("ADIT")</t>
  </si>
  <si>
    <t>Unprotected ADIT</t>
  </si>
  <si>
    <t>Unprotected ADIT After Tax Act</t>
  </si>
  <si>
    <t>Unprotected ADIT Prior to Tax Act</t>
  </si>
  <si>
    <t xml:space="preserve">Unprotected excess ADIT  </t>
  </si>
  <si>
    <t>Change in tax rates (34% - 21%)</t>
  </si>
  <si>
    <t>Total Unprotected excess ADIT  (Line 23 + Line 26)</t>
  </si>
  <si>
    <t>PAGE 2</t>
  </si>
  <si>
    <t>Trial Balance</t>
  </si>
  <si>
    <t>Line</t>
  </si>
  <si>
    <t>Account</t>
  </si>
  <si>
    <t>101.374</t>
  </si>
  <si>
    <t>Land and land rights</t>
  </si>
  <si>
    <t>101.376</t>
  </si>
  <si>
    <t>Mains</t>
  </si>
  <si>
    <t>101.378</t>
  </si>
  <si>
    <t>Regulating stations equipment</t>
  </si>
  <si>
    <t>101.380</t>
  </si>
  <si>
    <t>Services</t>
  </si>
  <si>
    <t>101.381</t>
  </si>
  <si>
    <t>Meters</t>
  </si>
  <si>
    <t>101.382</t>
  </si>
  <si>
    <t>Meter and HR installations</t>
  </si>
  <si>
    <t>101.383</t>
  </si>
  <si>
    <t>House regulators</t>
  </si>
  <si>
    <t>101.384</t>
  </si>
  <si>
    <t>House regulator installations</t>
  </si>
  <si>
    <t>121.389</t>
  </si>
  <si>
    <t>121.390</t>
  </si>
  <si>
    <t>Structures and improvements</t>
  </si>
  <si>
    <t>121.391</t>
  </si>
  <si>
    <t>Office furniture and fixtures</t>
  </si>
  <si>
    <t>121.392</t>
  </si>
  <si>
    <t>Transportation equipment</t>
  </si>
  <si>
    <t>121.394</t>
  </si>
  <si>
    <t>Tools and shop equipment</t>
  </si>
  <si>
    <t>121.396</t>
  </si>
  <si>
    <t>Power operated equipment</t>
  </si>
  <si>
    <t>121.397</t>
  </si>
  <si>
    <t>Communication equipment</t>
  </si>
  <si>
    <t>121.398</t>
  </si>
  <si>
    <t>Miscellaneous equipment</t>
  </si>
  <si>
    <t>121.399</t>
  </si>
  <si>
    <t>Computer equipment</t>
  </si>
  <si>
    <t>122.110</t>
  </si>
  <si>
    <t>Accumulated depreciation - plant</t>
  </si>
  <si>
    <t>122.122</t>
  </si>
  <si>
    <t>Accumulated depreciation - general</t>
  </si>
  <si>
    <t>PAGE 3</t>
  </si>
  <si>
    <t>PAGE 4</t>
  </si>
  <si>
    <t>PAGE 5</t>
  </si>
  <si>
    <t>State</t>
  </si>
  <si>
    <t>Net Book Value,  Exhibit 1 Page 4</t>
  </si>
  <si>
    <t>Plant Costs Per State Report, net  Exhibit 1 Page 6</t>
  </si>
  <si>
    <t>Other Adjustments:</t>
  </si>
  <si>
    <t>Tax rate</t>
  </si>
  <si>
    <t>State Deferred Tax Estimate (Line 9 * Line 8)</t>
  </si>
  <si>
    <t>PAGE 6</t>
  </si>
  <si>
    <t>DEFERRED STATE TAX ASSET/(LIABILITY) PER BALANCE SHEET</t>
  </si>
  <si>
    <t>ST LIABILITY</t>
  </si>
  <si>
    <t>LT LIABILITY</t>
  </si>
  <si>
    <t>ST ASSET</t>
  </si>
  <si>
    <t>LT ASSET</t>
  </si>
  <si>
    <t>DEPRECIATION</t>
  </si>
  <si>
    <t>NET BOOK VALUE - BOOKS</t>
  </si>
  <si>
    <t>NET BOOK VALUE - TAX</t>
  </si>
  <si>
    <t>DIFFERENCE</t>
  </si>
  <si>
    <t>ACCRUED SALARY</t>
  </si>
  <si>
    <t>UNBILLED REVENUE</t>
  </si>
  <si>
    <t>UNAMORTIZED EEP EXPENSE</t>
  </si>
  <si>
    <t>UNAMORTIZED RATE CASE</t>
  </si>
  <si>
    <t>TOTAL DEFERRALS</t>
  </si>
  <si>
    <t>STATE TAX AT</t>
  </si>
  <si>
    <t xml:space="preserve"> DEFERRED STATE TAX ASSET/(LIABILITY)</t>
  </si>
  <si>
    <t>PROOF</t>
  </si>
  <si>
    <t>DEFERRED FEDERAL TAX ASSET/(LIABILITY) PER BALANCE SHEET</t>
  </si>
  <si>
    <t>FEDERAL TAX (NET OF STATE) AT</t>
  </si>
  <si>
    <t>Difference</t>
  </si>
  <si>
    <t>TOTAL FEDERAL DEFERRED TAX ASSET/(LIABILITY)</t>
  </si>
  <si>
    <t>DEFERRED INCOME TAXES BEFORE ADJUSTMENT</t>
  </si>
  <si>
    <t>EXHIBIT 2</t>
  </si>
  <si>
    <t xml:space="preserve">Average Rate Assumption Method ("ARAM") </t>
  </si>
  <si>
    <t>Book NBV</t>
  </si>
  <si>
    <t>Federal NAV</t>
  </si>
  <si>
    <t>Diff</t>
  </si>
  <si>
    <t>Ave. Life</t>
  </si>
  <si>
    <t>Amortizaiton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</si>
  <si>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</si>
  <si>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</si>
  <si>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</si>
  <si>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</si>
  <si>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</si>
  <si>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</si>
  <si>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</si>
  <si>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</si>
  <si>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</si>
  <si>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</si>
  <si>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</si>
  <si>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</si>
  <si>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</si>
  <si>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</si>
  <si>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</si>
  <si>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</si>
  <si>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</si>
  <si>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</si>
  <si>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</si>
  <si>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</si>
  <si>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</si>
  <si>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</si>
  <si>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</si>
  <si>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</si>
  <si>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</si>
  <si>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</si>
  <si>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Auto</t>
  </si>
  <si>
    <t>Communication</t>
  </si>
  <si>
    <t>Computer</t>
  </si>
  <si>
    <t>House Regulators Install</t>
  </si>
  <si>
    <t xml:space="preserve">House Regulators </t>
  </si>
  <si>
    <t>Land</t>
  </si>
  <si>
    <t>Meter Installations</t>
  </si>
  <si>
    <t xml:space="preserve">Meters </t>
  </si>
  <si>
    <t>Misc</t>
  </si>
  <si>
    <t>Office</t>
  </si>
  <si>
    <t>Op Equip</t>
  </si>
  <si>
    <t>Regulating Station Equip</t>
  </si>
  <si>
    <t>Structures</t>
  </si>
  <si>
    <t>Tools</t>
  </si>
  <si>
    <t>Utility</t>
  </si>
  <si>
    <t>(Exhibit 2 Page 2)</t>
  </si>
  <si>
    <t>(Exhibit 2 Page 3)</t>
  </si>
  <si>
    <t xml:space="preserve">Calculation of Net Book Value </t>
  </si>
  <si>
    <t>Cost 
Basis</t>
  </si>
  <si>
    <t>Accumulated Depreciation</t>
  </si>
  <si>
    <t>Net Book 
Value</t>
  </si>
  <si>
    <t xml:space="preserve">Cost and accumulated depreciation amounts match book depreciation </t>
  </si>
  <si>
    <t>reports at 12/31/17.</t>
  </si>
  <si>
    <t xml:space="preserve">Calculation of Net Asset Value </t>
  </si>
  <si>
    <t>Net Asset 
Value</t>
  </si>
  <si>
    <t xml:space="preserve">Cost and accumulated depreciation amounts match federal depreciation </t>
  </si>
  <si>
    <t>Book Depreciation Expense - Calculation of Remaining Useful Lives</t>
  </si>
  <si>
    <t>System No.</t>
  </si>
  <si>
    <t>S</t>
  </si>
  <si>
    <t>Description</t>
  </si>
  <si>
    <t>Date In Service</t>
  </si>
  <si>
    <t>Method / Conv.</t>
  </si>
  <si>
    <t>Life</t>
  </si>
  <si>
    <t>Cost / Other Basis</t>
  </si>
  <si>
    <t>Bus./ Inv. %</t>
  </si>
  <si>
    <t>Beg. Accum. Depreciation/ (Sec. 179)</t>
  </si>
  <si>
    <t>Current Depreciation/ (Sec. 179)</t>
  </si>
  <si>
    <t>Total Depreciation/ (Sec. 179)</t>
  </si>
  <si>
    <t>Fully Disposed</t>
  </si>
  <si>
    <t>Remaining Years</t>
  </si>
  <si>
    <t>Without 0s</t>
  </si>
  <si>
    <t>Purchased Car from Sandman Brothers</t>
  </si>
  <si>
    <t>SL / N/A</t>
  </si>
  <si>
    <t>Sandman Brothers, Inc. - New Truck</t>
  </si>
  <si>
    <t>Subtotal: Auto</t>
  </si>
  <si>
    <t>Average Life Remaining</t>
  </si>
  <si>
    <t>Less dispositions and exchanges:</t>
  </si>
  <si>
    <t>Net for: Auto</t>
  </si>
  <si>
    <t>Comm 1Q98</t>
  </si>
  <si>
    <t>Tower purchased from Fountaintown Gas Company</t>
  </si>
  <si>
    <t>Communications equipment purchased from Fountaintown Gas Co.</t>
  </si>
  <si>
    <t>Subtotal: Communication</t>
  </si>
  <si>
    <t>Net for: Communication</t>
  </si>
  <si>
    <t>Comp 1Q98</t>
  </si>
  <si>
    <t>Computer Equipment - Wire Supplies, Inc.</t>
  </si>
  <si>
    <t>Computer Equipment - Dell Marketing L.P.</t>
  </si>
  <si>
    <t>Computer Equipment - Net Noggin</t>
  </si>
  <si>
    <t>Computer Equipment - Jason Wortman</t>
  </si>
  <si>
    <t>Net Noggin - Computer Equipment</t>
  </si>
  <si>
    <t>Dell Commercial Credit - Computer Equipment</t>
  </si>
  <si>
    <t>COMPUTER EQUIPMENT</t>
  </si>
  <si>
    <t>UPLINK TECHNOLOGIES</t>
  </si>
  <si>
    <t>COMPUTER</t>
  </si>
  <si>
    <t>Subtotal: Computer</t>
  </si>
  <si>
    <t>Net for: Computer</t>
  </si>
  <si>
    <t>House Regulator Install</t>
  </si>
  <si>
    <t>H.R. Install 3Q96</t>
  </si>
  <si>
    <t>House Reg Install 2Q99</t>
  </si>
  <si>
    <t>House Regulator Installations</t>
  </si>
  <si>
    <t>Subtotal: House Regulator Install</t>
  </si>
  <si>
    <t>Net for: House Regulator Install</t>
  </si>
  <si>
    <t>House Regulators</t>
  </si>
  <si>
    <t>House Reg</t>
  </si>
  <si>
    <t>House Reg Install</t>
  </si>
  <si>
    <t>House Reg 1 Q 92</t>
  </si>
  <si>
    <t>House Reg 3 Q 92</t>
  </si>
  <si>
    <t>House Reg 4 Q 92</t>
  </si>
  <si>
    <t>House Reg 3Q 93</t>
  </si>
  <si>
    <t>House Reg 1Q94</t>
  </si>
  <si>
    <t>House Reg 3Q94</t>
  </si>
  <si>
    <t>House Reg 4Q94</t>
  </si>
  <si>
    <t>House Reg 1Q95</t>
  </si>
  <si>
    <t>House Reg 2Q95</t>
  </si>
  <si>
    <t>House Reg 3Q95</t>
  </si>
  <si>
    <t>House Reg 4Q95</t>
  </si>
  <si>
    <t>House Reg 1Q96</t>
  </si>
  <si>
    <t>House Reg 2Q96</t>
  </si>
  <si>
    <t>House Reg 3Q96</t>
  </si>
  <si>
    <t>House Reg 4Q96</t>
  </si>
  <si>
    <t>House Reg 2Q99</t>
  </si>
  <si>
    <t>House Reg 3Q99</t>
  </si>
  <si>
    <t>House Reg 4Q99</t>
  </si>
  <si>
    <t>Housr regulators</t>
  </si>
  <si>
    <t>FOUNTAINTOWN GAS CO</t>
  </si>
  <si>
    <t>Year End Adjustment to House Regulators</t>
  </si>
  <si>
    <t>M / MQ</t>
  </si>
  <si>
    <t>House Reg.</t>
  </si>
  <si>
    <t>Subtotal: House Regulators</t>
  </si>
  <si>
    <t>Net for: House Regulators</t>
  </si>
  <si>
    <t>No Calc / N/A</t>
  </si>
  <si>
    <t>Land with Building</t>
  </si>
  <si>
    <t>Subtotal: Land</t>
  </si>
  <si>
    <t>Net for: Land</t>
  </si>
  <si>
    <t>Mains 1 Q 92</t>
  </si>
  <si>
    <t>Mains 2 Q 92</t>
  </si>
  <si>
    <t>Mains 3 Q 92</t>
  </si>
  <si>
    <t>Mains 4 Q 92</t>
  </si>
  <si>
    <t>Mains 1 Q 93</t>
  </si>
  <si>
    <t>Mains 2 Q 93</t>
  </si>
  <si>
    <t>Mains 3 Q 93</t>
  </si>
  <si>
    <t>Mains 4 Q 93</t>
  </si>
  <si>
    <t>Mains 1Q94</t>
  </si>
  <si>
    <t>Mains 3Q94</t>
  </si>
  <si>
    <t>Mains 4Q94</t>
  </si>
  <si>
    <t>Mains 1Q95</t>
  </si>
  <si>
    <t>Mains 3Q95</t>
  </si>
  <si>
    <t>Mains 4Q95</t>
  </si>
  <si>
    <t>Mains 1Q96</t>
  </si>
  <si>
    <t>Mains 2Q96</t>
  </si>
  <si>
    <t>Mains 3Q96</t>
  </si>
  <si>
    <t>Mains 4Q96</t>
  </si>
  <si>
    <t>Mains 2Q99</t>
  </si>
  <si>
    <t>Mains 3Q99</t>
  </si>
  <si>
    <t>Mains 4Q99</t>
  </si>
  <si>
    <t>Mains - Tim Hunter - Gravel</t>
  </si>
  <si>
    <t>Mains - Plant Payroll</t>
  </si>
  <si>
    <t>C&amp;H/M Excavating</t>
  </si>
  <si>
    <t>Demaree Trucking</t>
  </si>
  <si>
    <t>Steve Delap Trucking LLC</t>
  </si>
  <si>
    <t>MAINS</t>
  </si>
  <si>
    <t>C &amp; H/M EXCAVATING INC</t>
  </si>
  <si>
    <t>UTILITY SAFETY AND DESIGN INC</t>
  </si>
  <si>
    <t>LARRY L EATON</t>
  </si>
  <si>
    <t>UTILITY SAFETY AND DESIGN</t>
  </si>
  <si>
    <t>TOWN OF VERSAILLES</t>
  </si>
  <si>
    <t>HANSON AGGREGATES INC</t>
  </si>
  <si>
    <t>Year End Adjustment to Mains</t>
  </si>
  <si>
    <t>DAVE O'MARA CONTRACTOR INC</t>
  </si>
  <si>
    <t>ADJUSTMENT TO INVENTORY</t>
  </si>
  <si>
    <t>C&amp;HM EXCAVATING INC</t>
  </si>
  <si>
    <t>Subtotal: Mains</t>
  </si>
  <si>
    <t>Net for: Mains</t>
  </si>
  <si>
    <t>Meter &amp; HR Installations</t>
  </si>
  <si>
    <t>Meter and HR Installations</t>
  </si>
  <si>
    <t>Meter Install</t>
  </si>
  <si>
    <t>Meter Install 4 Q 92</t>
  </si>
  <si>
    <t>Meter &amp; Hr Inst 2Q94</t>
  </si>
  <si>
    <t>Meter and HR Install 1Q99</t>
  </si>
  <si>
    <t>Meter installations</t>
  </si>
  <si>
    <t>Meter &amp; HR Installations - Plant Payroll</t>
  </si>
  <si>
    <t>Record plant payroll</t>
  </si>
  <si>
    <t>Meter and HR Installation</t>
  </si>
  <si>
    <t>METER INSTALLATIONS</t>
  </si>
  <si>
    <t>METER AND HR INSTALLATIONS</t>
  </si>
  <si>
    <t>Year End Adjustment to Meter Installations</t>
  </si>
  <si>
    <t>METER AND HR INSTALLATION</t>
  </si>
  <si>
    <t>Meters and HR Installations</t>
  </si>
  <si>
    <t>Meter Installation</t>
  </si>
  <si>
    <t>Subtotal: Meter Installations</t>
  </si>
  <si>
    <t>Net for: Meter Installations</t>
  </si>
  <si>
    <t>Meters 1Q 93</t>
  </si>
  <si>
    <t>SYD / N/A</t>
  </si>
  <si>
    <t>Meters - Fountaintown Gas Co.</t>
  </si>
  <si>
    <t>METERS</t>
  </si>
  <si>
    <t>Subtotal: Meters</t>
  </si>
  <si>
    <t>Net for: Meters</t>
  </si>
  <si>
    <t>Adjustment to actual</t>
  </si>
  <si>
    <t>Miscellaneous Equipment</t>
  </si>
  <si>
    <t>Subtotal: Misc</t>
  </si>
  <si>
    <t>Net for: Misc</t>
  </si>
  <si>
    <t>Furniture</t>
  </si>
  <si>
    <t>Office 4Q94</t>
  </si>
  <si>
    <t>Office Equip 4Q94</t>
  </si>
  <si>
    <t>Office Equip 3Q95</t>
  </si>
  <si>
    <t>Office furniture &amp; fixtures</t>
  </si>
  <si>
    <t>Ikon Office Solutions</t>
  </si>
  <si>
    <t>Subtotal: Office</t>
  </si>
  <si>
    <t>Net for: Office</t>
  </si>
  <si>
    <t>Power Op Equip</t>
  </si>
  <si>
    <t>Power Operated Equip</t>
  </si>
  <si>
    <t>DIAMOND EQUIPMENT INC</t>
  </si>
  <si>
    <t>Subtotal: Power Op Equip</t>
  </si>
  <si>
    <t>Net for: Power Op Equip</t>
  </si>
  <si>
    <t>Reg Stations Equip</t>
  </si>
  <si>
    <t>Reg Station</t>
  </si>
  <si>
    <t>Reg Station Equip</t>
  </si>
  <si>
    <t>Peg Stations Equip</t>
  </si>
  <si>
    <t>Reg Stat Equp 2Q94</t>
  </si>
  <si>
    <t>Reg Stat Equp 3Q94</t>
  </si>
  <si>
    <t>Reg Stat Equp 4Q94</t>
  </si>
  <si>
    <t>Reg Stat Equp 3Q95</t>
  </si>
  <si>
    <t>Reg Station Equipment 1Q99</t>
  </si>
  <si>
    <t>Reg station equipment</t>
  </si>
  <si>
    <t>Regulating Stations Equipment</t>
  </si>
  <si>
    <t>Regulating Station Equipment</t>
  </si>
  <si>
    <t>King Tool Company</t>
  </si>
  <si>
    <t>Cornerstone Controls, Inc. - Regulating Stations Equipment</t>
  </si>
  <si>
    <t>Groebner &amp; Associates, Inc.</t>
  </si>
  <si>
    <t>REGULATING STATION EQUIPMENT</t>
  </si>
  <si>
    <t>REGULATING STATIONS EQUIPMENT</t>
  </si>
  <si>
    <t>Year End Adjustment to Regulating Stations Equipment</t>
  </si>
  <si>
    <t>REG STATION EQUIPMENT</t>
  </si>
  <si>
    <t>Subtotal: Regulating Station Equip</t>
  </si>
  <si>
    <t>Net for: Regulating Station Equip</t>
  </si>
  <si>
    <t>Services 1 Q 92</t>
  </si>
  <si>
    <t>Services 2 Q 92</t>
  </si>
  <si>
    <t>Services 3 Q 92</t>
  </si>
  <si>
    <t>Services 4 Q 92</t>
  </si>
  <si>
    <t>Services 1 Q 93</t>
  </si>
  <si>
    <t>Services 2 Q 93</t>
  </si>
  <si>
    <t>Services 3 Q 93</t>
  </si>
  <si>
    <t>Services 4 Q 93</t>
  </si>
  <si>
    <t>Services 1Q94</t>
  </si>
  <si>
    <t>Services 2Q94</t>
  </si>
  <si>
    <t>Services 3Q94</t>
  </si>
  <si>
    <t>Services 4Q94</t>
  </si>
  <si>
    <t>Services 1Q95</t>
  </si>
  <si>
    <t>Services 2Q95</t>
  </si>
  <si>
    <t>Services 3Q95</t>
  </si>
  <si>
    <t>Services 4Q95</t>
  </si>
  <si>
    <t>Services 1Q96</t>
  </si>
  <si>
    <t>Services 2Q96</t>
  </si>
  <si>
    <t>Services 3Q96</t>
  </si>
  <si>
    <t>Services 4Q96</t>
  </si>
  <si>
    <t>Services 1Q99</t>
  </si>
  <si>
    <t>Services 2Q99</t>
  </si>
  <si>
    <t>Services 3Q99</t>
  </si>
  <si>
    <t>Services 4Q99</t>
  </si>
  <si>
    <t>Servies</t>
  </si>
  <si>
    <t>Services - Materials Issued</t>
  </si>
  <si>
    <t>Services - Plant Payroll</t>
  </si>
  <si>
    <t>C &amp; H/M Excavating</t>
  </si>
  <si>
    <t>Record material issued</t>
  </si>
  <si>
    <t>M / MM</t>
  </si>
  <si>
    <t>SERVICES</t>
  </si>
  <si>
    <t>Year End Adjustment to Services</t>
  </si>
  <si>
    <t>HANSON AGGREGATES</t>
  </si>
  <si>
    <t>C&amp;H/M EXCAVATING</t>
  </si>
  <si>
    <t>SERIVCES</t>
  </si>
  <si>
    <t>Subtotal: Services</t>
  </si>
  <si>
    <t>Net for: Services</t>
  </si>
  <si>
    <t>Structures &amp; Improvements</t>
  </si>
  <si>
    <t>Structures &amp; Improv</t>
  </si>
  <si>
    <t>John Howard</t>
  </si>
  <si>
    <t>Halcomb Home Center</t>
  </si>
  <si>
    <t>E-town Disposal</t>
  </si>
  <si>
    <t>Merrilee's Trustworthy Supply</t>
  </si>
  <si>
    <t>JR Wortman Co Inc</t>
  </si>
  <si>
    <t>Zand McCroskey - Roof</t>
  </si>
  <si>
    <t>Structures &amp; Improvements - A &amp; B Company, Inc.</t>
  </si>
  <si>
    <t>Purchase of Building</t>
  </si>
  <si>
    <t>TRACY FISK</t>
  </si>
  <si>
    <t>HALCOMB HOME CENTER</t>
  </si>
  <si>
    <t>STRUCTURES</t>
  </si>
  <si>
    <t>STRUCTURES AND IMPROVEMENTS</t>
  </si>
  <si>
    <t>Subtotal: Structures</t>
  </si>
  <si>
    <t>Net for: Structures</t>
  </si>
  <si>
    <t>Tool 1Q94</t>
  </si>
  <si>
    <t>Tool 2Q94</t>
  </si>
  <si>
    <t>Tools 1Q95</t>
  </si>
  <si>
    <t>Tools 2Q95</t>
  </si>
  <si>
    <t>Tools and Shop 2Q99</t>
  </si>
  <si>
    <t>Tools &amp; Shop Equip</t>
  </si>
  <si>
    <t>Tools &amp; Shop Equipment</t>
  </si>
  <si>
    <t>TOOLS</t>
  </si>
  <si>
    <t>UTILITY SALES AND SERVICE</t>
  </si>
  <si>
    <t>Subtotal: Tools</t>
  </si>
  <si>
    <t>Net for: Tools</t>
  </si>
  <si>
    <t>Gas Plant</t>
  </si>
  <si>
    <t>CE</t>
  </si>
  <si>
    <t>Util 1Q97</t>
  </si>
  <si>
    <t>Util 2Q97</t>
  </si>
  <si>
    <t>Util 3Q97</t>
  </si>
  <si>
    <t>Util 4Q97</t>
  </si>
  <si>
    <t>Util 1Q98</t>
  </si>
  <si>
    <t>Util 2Q98</t>
  </si>
  <si>
    <t>Util 3Q98</t>
  </si>
  <si>
    <t>Util 4Q98</t>
  </si>
  <si>
    <t>Subtotal: Utility</t>
  </si>
  <si>
    <t>Net for: Utility</t>
  </si>
  <si>
    <t xml:space="preserve">Subtotal: </t>
  </si>
  <si>
    <t xml:space="preserve">Grand Totals: </t>
  </si>
  <si>
    <t>EXHIBIT 3</t>
  </si>
  <si>
    <t>South Eastern Indiana Natuaral Gas Company</t>
  </si>
  <si>
    <t>As of July 31, 2011</t>
  </si>
  <si>
    <t>Accumulated Federal Deferred Income Taxes at 34%</t>
  </si>
  <si>
    <t>Accumulated Federal Deferred Income Taxes at 21%</t>
  </si>
  <si>
    <t>Excess Accumulated Federal Deferred Income Taxes as of 7/31/2011</t>
  </si>
  <si>
    <t>SOUTH EASTERN INDIANA NATURAL GAS CO.</t>
  </si>
  <si>
    <t>DEFERRED TAX</t>
  </si>
  <si>
    <t>DEFERRED CREDITS - REFUNDS</t>
  </si>
  <si>
    <t>CONTRIBUTION CARRYOVER DEDUCTION</t>
  </si>
  <si>
    <t>Protected items</t>
  </si>
  <si>
    <t>State deferred taxes</t>
  </si>
  <si>
    <t>Federal deferred taxes net of state taxes</t>
  </si>
  <si>
    <t>Unprotected items</t>
  </si>
  <si>
    <t>Total</t>
  </si>
  <si>
    <t>State Taxes</t>
  </si>
  <si>
    <t>Federal Taxes</t>
  </si>
  <si>
    <t>Accured Salary (short term)</t>
  </si>
  <si>
    <t>Unbilled revenue (short term)</t>
  </si>
  <si>
    <t>Deferred credits refunds</t>
  </si>
  <si>
    <t>Unamortized rate case</t>
  </si>
  <si>
    <t>Contribution carryover deduction</t>
  </si>
  <si>
    <t>South Eastern Indiana Natural Gas Company</t>
  </si>
  <si>
    <t>EXHIBIT 4</t>
  </si>
  <si>
    <t>First 4 Months of 2018 Summary</t>
  </si>
  <si>
    <t>Customer</t>
  </si>
  <si>
    <t>Step-Rate</t>
  </si>
  <si>
    <t>Step Therms</t>
  </si>
  <si>
    <t>Pre-TAJCA</t>
  </si>
  <si>
    <t>Post-TAJCA</t>
  </si>
  <si>
    <t>Rate</t>
  </si>
  <si>
    <t>Over</t>
  </si>
  <si>
    <t>NTA</t>
  </si>
  <si>
    <t>NTA Rate</t>
  </si>
  <si>
    <t>Net</t>
  </si>
  <si>
    <t>Blocks</t>
  </si>
  <si>
    <t>Count</t>
  </si>
  <si>
    <t>Dth</t>
  </si>
  <si>
    <t>Adjustments</t>
  </si>
  <si>
    <t>Redistribution</t>
  </si>
  <si>
    <t>Final</t>
  </si>
  <si>
    <t>Rates</t>
  </si>
  <si>
    <t>Collection</t>
  </si>
  <si>
    <t>Rate Diff</t>
  </si>
  <si>
    <t>Overcollection</t>
  </si>
  <si>
    <t xml:space="preserve"> </t>
  </si>
  <si>
    <t>Residential</t>
  </si>
  <si>
    <t>1 - 5.1</t>
  </si>
  <si>
    <t>&gt; 5.1</t>
  </si>
  <si>
    <t>Small Commerical</t>
  </si>
  <si>
    <t>5.1 - 25.6</t>
  </si>
  <si>
    <t>&gt; 25.6</t>
  </si>
  <si>
    <t>Totals</t>
  </si>
  <si>
    <t xml:space="preserve">check </t>
  </si>
  <si>
    <t>Determination of Refund Credit Tracker</t>
  </si>
  <si>
    <t>Weather</t>
  </si>
  <si>
    <t>Metered</t>
  </si>
  <si>
    <t xml:space="preserve">NTA  </t>
  </si>
  <si>
    <t>Adjusted</t>
  </si>
  <si>
    <t>Tariff</t>
  </si>
  <si>
    <t>January</t>
  </si>
  <si>
    <t>Volume</t>
  </si>
  <si>
    <t>%</t>
  </si>
  <si>
    <t>RS</t>
  </si>
  <si>
    <t>GS</t>
  </si>
  <si>
    <t>Sm Comm</t>
  </si>
  <si>
    <t xml:space="preserve">Total GCA </t>
  </si>
  <si>
    <t>February</t>
  </si>
  <si>
    <t>March</t>
  </si>
  <si>
    <t>April</t>
  </si>
  <si>
    <t>Estimated Tariff Sales January - April, 2019</t>
  </si>
  <si>
    <t>Refund Due Customers</t>
  </si>
  <si>
    <t>Refund Tracker Per Therm</t>
  </si>
  <si>
    <t>January 2018</t>
  </si>
  <si>
    <t>Step Dth</t>
  </si>
  <si>
    <t>Feb 2018</t>
  </si>
  <si>
    <t>Therms</t>
  </si>
  <si>
    <t>March 2018</t>
  </si>
  <si>
    <t>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</si>
</sst>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???,??0.00"/>
    <numFmt numFmtId="165" formatCode="&quot;$&quot;??,??0.00"/>
    <numFmt numFmtId="166" formatCode="&quot;$&quot;?,???,??0.00"/>
    <numFmt numFmtId="167" formatCode="&quot;$&quot;0.00"/>
    <numFmt numFmtId="168" formatCode="&quot;$&quot;?,??0.00"/>
    <numFmt numFmtId="169" formatCode="_(* #,##0_);_(* \(#,##0\);_(* &quot;-&quot;??_);_(@_)"/>
    <numFmt numFmtId="170" formatCode="0.0%"/>
    <numFmt numFmtId="171" formatCode="[$-409]mmmm\ d\,\ yyyy;@"/>
    <numFmt numFmtId="172" formatCode="#,##0.0000"/>
    <numFmt numFmtId="173" formatCode="_(&quot;$&quot;* #,##0_);_(&quot;$&quot;* \(#,##0\);_(&quot;$&quot;* &quot;-&quot;??_);_(@_)"/>
    <numFmt numFmtId="174" formatCode="m/d/yy"/>
    <numFmt numFmtId="175" formatCode="[$-409]mmm\-yy;@"/>
    <numFmt numFmtId="176" formatCode="_(* #,##0.00000_);_(* \(#,##0.00000\);_(* &quot;-&quot;??_);_(@_)"/>
    <numFmt numFmtId="177" formatCode="0.00000"/>
    <numFmt numFmtId="178" formatCode="_(&quot;$&quot;* #,##0.0000_);_(&quot;$&quot;* \(#,##0.00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FF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Arial"/>
      <family val="2"/>
    </font>
    <font>
      <b/>
      <sz val="10"/>
      <name val="Times New Roman"/>
      <family val="1"/>
    </font>
    <font>
      <u/>
      <sz val="11"/>
      <color indexed="8"/>
      <name val="Times New Roman"/>
      <family val="1"/>
    </font>
    <font>
      <sz val="11"/>
      <color rgb="FFFF0000"/>
      <name val="Times New Roman"/>
      <family val="1"/>
    </font>
    <font>
      <u/>
      <sz val="10"/>
      <name val="Times New Roman"/>
      <family val="1"/>
    </font>
    <font>
      <sz val="14"/>
      <color indexed="8"/>
      <name val="Times New Roman"/>
      <family val="1"/>
    </font>
    <font>
      <u/>
      <sz val="11"/>
      <name val="Times New Roman"/>
      <family val="1"/>
    </font>
    <font>
      <b/>
      <u/>
      <sz val="8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sz val="8"/>
      <color rgb="FFFF0000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4" fillId="0" borderId="0">
      <alignment vertical="top"/>
    </xf>
    <xf numFmtId="44" fontId="1" fillId="0" borderId="0" applyFont="0" applyFill="0" applyBorder="0" applyAlignment="0" applyProtection="0"/>
    <xf numFmtId="0" fontId="18" fillId="0" borderId="0">
      <alignment vertical="top"/>
    </xf>
    <xf numFmtId="43" fontId="14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169" fontId="6" fillId="0" borderId="0" xfId="1" applyNumberFormat="1" applyFont="1"/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9" fontId="8" fillId="0" borderId="0" xfId="1" applyNumberFormat="1" applyFont="1" applyFill="1"/>
    <xf numFmtId="0" fontId="8" fillId="0" borderId="0" xfId="0" applyFont="1" applyFill="1"/>
    <xf numFmtId="169" fontId="6" fillId="0" borderId="0" xfId="1" applyNumberFormat="1" applyFont="1" applyFill="1"/>
    <xf numFmtId="0" fontId="6" fillId="0" borderId="0" xfId="0" applyFont="1" applyFill="1"/>
    <xf numFmtId="0" fontId="6" fillId="0" borderId="0" xfId="0" applyFont="1" applyAlignment="1">
      <alignment horizontal="left" indent="2"/>
    </xf>
    <xf numFmtId="0" fontId="9" fillId="0" borderId="0" xfId="0" applyFont="1"/>
    <xf numFmtId="169" fontId="6" fillId="0" borderId="1" xfId="1" applyNumberFormat="1" applyFont="1" applyBorder="1"/>
    <xf numFmtId="169" fontId="6" fillId="0" borderId="0" xfId="0" applyNumberFormat="1" applyFont="1"/>
    <xf numFmtId="169" fontId="6" fillId="0" borderId="1" xfId="0" applyNumberFormat="1" applyFont="1" applyBorder="1"/>
    <xf numFmtId="170" fontId="6" fillId="0" borderId="0" xfId="0" applyNumberFormat="1" applyFont="1"/>
    <xf numFmtId="169" fontId="6" fillId="0" borderId="1" xfId="1" applyNumberFormat="1" applyFont="1" applyFill="1" applyBorder="1"/>
    <xf numFmtId="169" fontId="6" fillId="0" borderId="0" xfId="1" applyNumberFormat="1" applyFont="1" applyFill="1" applyBorder="1"/>
    <xf numFmtId="0" fontId="6" fillId="0" borderId="0" xfId="0" applyFont="1" applyAlignment="1">
      <alignment horizontal="right"/>
    </xf>
    <xf numFmtId="43" fontId="6" fillId="0" borderId="0" xfId="0" applyNumberFormat="1" applyFont="1"/>
    <xf numFmtId="0" fontId="6" fillId="0" borderId="0" xfId="0" applyFont="1" applyBorder="1"/>
    <xf numFmtId="43" fontId="6" fillId="0" borderId="0" xfId="0" applyNumberFormat="1" applyFont="1" applyBorder="1"/>
    <xf numFmtId="37" fontId="8" fillId="0" borderId="0" xfId="6" applyNumberFormat="1" applyFont="1" applyFill="1" applyAlignment="1"/>
    <xf numFmtId="0" fontId="8" fillId="0" borderId="0" xfId="3" applyFont="1" applyFill="1" applyBorder="1"/>
    <xf numFmtId="0" fontId="8" fillId="0" borderId="0" xfId="0" applyFont="1" applyFill="1" applyAlignment="1">
      <alignment horizontal="right"/>
    </xf>
    <xf numFmtId="0" fontId="8" fillId="0" borderId="0" xfId="3" applyFont="1" applyFill="1"/>
    <xf numFmtId="37" fontId="12" fillId="0" borderId="0" xfId="6" applyNumberFormat="1" applyFont="1" applyFill="1" applyAlignment="1">
      <alignment horizontal="center"/>
    </xf>
    <xf numFmtId="0" fontId="8" fillId="0" borderId="0" xfId="6" applyNumberFormat="1" applyFont="1" applyFill="1" applyAlignment="1"/>
    <xf numFmtId="169" fontId="6" fillId="0" borderId="4" xfId="0" applyNumberFormat="1" applyFont="1" applyBorder="1"/>
    <xf numFmtId="37" fontId="8" fillId="0" borderId="0" xfId="6" applyNumberFormat="1" applyFont="1" applyFill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9" fontId="10" fillId="0" borderId="2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3" fontId="6" fillId="0" borderId="2" xfId="0" applyNumberFormat="1" applyFont="1" applyBorder="1"/>
    <xf numFmtId="43" fontId="13" fillId="0" borderId="0" xfId="1" applyFont="1" applyAlignment="1">
      <alignment horizontal="left" vertical="top"/>
    </xf>
    <xf numFmtId="169" fontId="6" fillId="0" borderId="0" xfId="0" applyNumberFormat="1" applyFont="1" applyFill="1"/>
    <xf numFmtId="169" fontId="6" fillId="0" borderId="0" xfId="0" applyNumberFormat="1" applyFont="1" applyBorder="1"/>
    <xf numFmtId="0" fontId="0" fillId="0" borderId="0" xfId="0" applyAlignment="1">
      <alignment horizontal="left" indent="3"/>
    </xf>
    <xf numFmtId="37" fontId="0" fillId="0" borderId="0" xfId="0" applyNumberFormat="1"/>
    <xf numFmtId="37" fontId="11" fillId="0" borderId="0" xfId="6" applyNumberFormat="1" applyFont="1" applyFill="1" applyAlignment="1">
      <alignment horizontal="left"/>
    </xf>
    <xf numFmtId="0" fontId="15" fillId="0" borderId="0" xfId="7" applyFont="1" applyFill="1">
      <alignment vertical="top"/>
    </xf>
    <xf numFmtId="172" fontId="17" fillId="0" borderId="0" xfId="7" applyNumberFormat="1" applyFont="1" applyFill="1" applyAlignment="1">
      <alignment horizontal="right" vertical="top" wrapText="1"/>
    </xf>
    <xf numFmtId="171" fontId="8" fillId="0" borderId="0" xfId="6" applyNumberFormat="1" applyFont="1" applyFill="1" applyAlignment="1"/>
    <xf numFmtId="173" fontId="6" fillId="0" borderId="0" xfId="8" applyNumberFormat="1" applyFont="1" applyAlignment="1">
      <alignment vertical="top"/>
    </xf>
    <xf numFmtId="173" fontId="6" fillId="0" borderId="1" xfId="8" applyNumberFormat="1" applyFont="1" applyBorder="1" applyAlignment="1">
      <alignment vertical="top"/>
    </xf>
    <xf numFmtId="173" fontId="6" fillId="0" borderId="0" xfId="8" applyNumberFormat="1" applyFont="1" applyBorder="1" applyAlignment="1">
      <alignment vertical="top"/>
    </xf>
    <xf numFmtId="173" fontId="6" fillId="0" borderId="2" xfId="8" applyNumberFormat="1" applyFont="1" applyBorder="1" applyAlignment="1">
      <alignment vertical="top"/>
    </xf>
    <xf numFmtId="173" fontId="13" fillId="0" borderId="0" xfId="8" applyNumberFormat="1" applyFont="1" applyAlignment="1">
      <alignment vertical="top"/>
    </xf>
    <xf numFmtId="0" fontId="8" fillId="0" borderId="0" xfId="0" applyFont="1" applyFill="1" applyBorder="1"/>
    <xf numFmtId="0" fontId="13" fillId="0" borderId="0" xfId="9" applyFont="1" applyBorder="1" applyAlignment="1">
      <alignment horizontal="center" vertical="top"/>
    </xf>
    <xf numFmtId="173" fontId="13" fillId="0" borderId="0" xfId="8" applyNumberFormat="1" applyFont="1" applyBorder="1" applyAlignment="1">
      <alignment vertical="top"/>
    </xf>
    <xf numFmtId="173" fontId="13" fillId="0" borderId="4" xfId="8" applyNumberFormat="1" applyFont="1" applyBorder="1" applyAlignment="1">
      <alignment vertical="top"/>
    </xf>
    <xf numFmtId="0" fontId="13" fillId="0" borderId="2" xfId="9" applyFont="1" applyBorder="1" applyAlignment="1">
      <alignment horizontal="center" vertical="top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3" fillId="0" borderId="0" xfId="9" applyFont="1" applyAlignment="1">
      <alignment horizontal="center" vertical="top"/>
    </xf>
    <xf numFmtId="0" fontId="13" fillId="0" borderId="0" xfId="9" applyFont="1">
      <alignment vertical="top"/>
    </xf>
    <xf numFmtId="0" fontId="13" fillId="0" borderId="0" xfId="9" applyFont="1" applyBorder="1">
      <alignment vertical="top"/>
    </xf>
    <xf numFmtId="0" fontId="20" fillId="0" borderId="0" xfId="9" applyFont="1" applyAlignment="1">
      <alignment horizontal="center"/>
    </xf>
    <xf numFmtId="169" fontId="9" fillId="0" borderId="0" xfId="1" applyNumberFormat="1" applyFont="1" applyBorder="1"/>
    <xf numFmtId="0" fontId="9" fillId="0" borderId="0" xfId="0" applyFont="1" applyBorder="1" applyAlignment="1">
      <alignment horizontal="left"/>
    </xf>
    <xf numFmtId="0" fontId="6" fillId="0" borderId="0" xfId="0" applyFont="1" applyFill="1" applyAlignment="1"/>
    <xf numFmtId="0" fontId="11" fillId="0" borderId="0" xfId="0" applyFont="1" applyAlignment="1">
      <alignment horizontal="right"/>
    </xf>
    <xf numFmtId="0" fontId="11" fillId="0" borderId="0" xfId="0" applyFont="1"/>
    <xf numFmtId="43" fontId="19" fillId="0" borderId="0" xfId="1" applyFont="1" applyFill="1" applyAlignment="1">
      <alignment horizontal="center" vertical="top"/>
    </xf>
    <xf numFmtId="43" fontId="19" fillId="0" borderId="0" xfId="1" applyFont="1" applyFill="1" applyAlignment="1">
      <alignment horizontal="left" vertical="top"/>
    </xf>
    <xf numFmtId="0" fontId="22" fillId="0" borderId="0" xfId="0" applyFont="1" applyFill="1" applyAlignment="1">
      <alignment horizontal="center"/>
    </xf>
    <xf numFmtId="43" fontId="19" fillId="0" borderId="0" xfId="1" applyFont="1" applyFill="1" applyBorder="1" applyAlignment="1">
      <alignment horizontal="left" vertical="center"/>
    </xf>
    <xf numFmtId="14" fontId="19" fillId="0" borderId="2" xfId="1" applyNumberFormat="1" applyFont="1" applyFill="1" applyBorder="1" applyAlignment="1">
      <alignment horizontal="center" vertical="center"/>
    </xf>
    <xf numFmtId="14" fontId="19" fillId="0" borderId="0" xfId="1" applyNumberFormat="1" applyFont="1" applyFill="1" applyBorder="1" applyAlignment="1">
      <alignment horizontal="center" vertical="center"/>
    </xf>
    <xf numFmtId="43" fontId="19" fillId="0" borderId="0" xfId="1" applyFont="1" applyAlignment="1">
      <alignment horizontal="center" vertical="center"/>
    </xf>
    <xf numFmtId="49" fontId="3" fillId="0" borderId="0" xfId="3" applyNumberFormat="1" applyFont="1"/>
    <xf numFmtId="49" fontId="3" fillId="0" borderId="0" xfId="3" applyNumberFormat="1" applyFont="1" applyBorder="1" applyAlignment="1">
      <alignment horizontal="left"/>
    </xf>
    <xf numFmtId="40" fontId="3" fillId="0" borderId="0" xfId="3" applyNumberFormat="1" applyFont="1" applyAlignment="1">
      <alignment horizontal="right"/>
    </xf>
    <xf numFmtId="164" fontId="11" fillId="0" borderId="0" xfId="1" applyNumberFormat="1" applyFont="1" applyAlignment="1">
      <alignment horizontal="right" vertical="top"/>
    </xf>
    <xf numFmtId="167" fontId="11" fillId="0" borderId="0" xfId="1" applyNumberFormat="1" applyFont="1" applyAlignment="1">
      <alignment horizontal="right" vertical="top"/>
    </xf>
    <xf numFmtId="165" fontId="11" fillId="0" borderId="0" xfId="1" applyNumberFormat="1" applyFont="1" applyAlignment="1">
      <alignment horizontal="right" vertical="top"/>
    </xf>
    <xf numFmtId="166" fontId="11" fillId="0" borderId="0" xfId="1" applyNumberFormat="1" applyFont="1" applyAlignment="1">
      <alignment horizontal="right" vertical="top"/>
    </xf>
    <xf numFmtId="40" fontId="3" fillId="0" borderId="0" xfId="3" applyNumberFormat="1" applyFont="1" applyFill="1" applyAlignment="1">
      <alignment horizontal="right"/>
    </xf>
    <xf numFmtId="168" fontId="11" fillId="0" borderId="0" xfId="1" applyNumberFormat="1" applyFont="1" applyAlignment="1">
      <alignment horizontal="right" vertical="top"/>
    </xf>
    <xf numFmtId="0" fontId="0" fillId="0" borderId="0" xfId="0"/>
    <xf numFmtId="0" fontId="6" fillId="0" borderId="0" xfId="0" applyFont="1" applyAlignment="1">
      <alignment vertical="top"/>
    </xf>
    <xf numFmtId="0" fontId="13" fillId="0" borderId="0" xfId="0" applyFont="1" applyAlignment="1">
      <alignment vertical="top"/>
    </xf>
    <xf numFmtId="169" fontId="6" fillId="0" borderId="1" xfId="0" applyNumberFormat="1" applyFont="1" applyFill="1" applyBorder="1"/>
    <xf numFmtId="43" fontId="6" fillId="0" borderId="0" xfId="1" applyFont="1"/>
    <xf numFmtId="43" fontId="6" fillId="0" borderId="0" xfId="1" applyFont="1" applyBorder="1"/>
    <xf numFmtId="43" fontId="6" fillId="0" borderId="2" xfId="1" applyFont="1" applyBorder="1"/>
    <xf numFmtId="0" fontId="15" fillId="0" borderId="0" xfId="7" applyFont="1" applyFill="1" applyAlignment="1">
      <alignment vertical="top"/>
    </xf>
    <xf numFmtId="172" fontId="17" fillId="0" borderId="0" xfId="7" applyNumberFormat="1" applyFont="1" applyFill="1" applyAlignment="1">
      <alignment horizontal="right" vertical="top"/>
    </xf>
    <xf numFmtId="0" fontId="15" fillId="0" borderId="0" xfId="7" applyFont="1" applyFill="1" applyAlignment="1">
      <alignment vertical="top" wrapText="1"/>
    </xf>
    <xf numFmtId="0" fontId="16" fillId="0" borderId="0" xfId="7" applyFont="1" applyFill="1" applyAlignment="1">
      <alignment horizontal="center" vertical="top"/>
    </xf>
    <xf numFmtId="0" fontId="17" fillId="0" borderId="0" xfId="7" applyFont="1" applyFill="1" applyAlignment="1">
      <alignment vertical="top" wrapText="1"/>
    </xf>
    <xf numFmtId="14" fontId="17" fillId="0" borderId="0" xfId="7" applyNumberFormat="1" applyFont="1" applyFill="1" applyAlignment="1">
      <alignment vertical="top" wrapText="1"/>
    </xf>
    <xf numFmtId="0" fontId="23" fillId="0" borderId="0" xfId="7" applyFont="1" applyFill="1" applyAlignment="1">
      <alignment vertical="top" wrapText="1"/>
    </xf>
    <xf numFmtId="19" fontId="17" fillId="0" borderId="0" xfId="7" applyNumberFormat="1" applyFont="1" applyFill="1" applyAlignment="1">
      <alignment vertical="top" wrapText="1"/>
    </xf>
    <xf numFmtId="0" fontId="8" fillId="0" borderId="0" xfId="0" applyFont="1" applyFill="1" applyAlignment="1" applyProtection="1">
      <alignment horizontal="left"/>
    </xf>
    <xf numFmtId="0" fontId="8" fillId="0" borderId="0" xfId="0" applyFont="1" applyFill="1" applyProtection="1"/>
    <xf numFmtId="0" fontId="8" fillId="0" borderId="2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right"/>
    </xf>
    <xf numFmtId="174" fontId="8" fillId="0" borderId="0" xfId="0" applyNumberFormat="1" applyFont="1" applyFill="1" applyProtection="1"/>
    <xf numFmtId="40" fontId="8" fillId="0" borderId="0" xfId="0" applyNumberFormat="1" applyFont="1" applyFill="1" applyProtection="1"/>
    <xf numFmtId="39" fontId="8" fillId="0" borderId="0" xfId="0" applyNumberFormat="1" applyFont="1" applyFill="1" applyProtection="1"/>
    <xf numFmtId="0" fontId="8" fillId="0" borderId="0" xfId="0" applyFont="1" applyAlignment="1" applyProtection="1">
      <alignment horizontal="left"/>
    </xf>
    <xf numFmtId="0" fontId="8" fillId="0" borderId="0" xfId="0" applyFont="1" applyProtection="1"/>
    <xf numFmtId="40" fontId="8" fillId="0" borderId="0" xfId="0" applyNumberFormat="1" applyFont="1" applyProtection="1"/>
    <xf numFmtId="0" fontId="8" fillId="0" borderId="0" xfId="0" applyFont="1" applyAlignment="1" applyProtection="1">
      <alignment horizontal="right"/>
    </xf>
    <xf numFmtId="43" fontId="8" fillId="0" borderId="1" xfId="0" applyNumberFormat="1" applyFont="1" applyBorder="1" applyProtection="1"/>
    <xf numFmtId="10" fontId="8" fillId="0" borderId="0" xfId="11" applyNumberFormat="1" applyFont="1" applyAlignment="1" applyProtection="1">
      <alignment horizontal="left"/>
    </xf>
    <xf numFmtId="43" fontId="8" fillId="0" borderId="0" xfId="0" applyNumberFormat="1" applyFont="1" applyProtection="1"/>
    <xf numFmtId="0" fontId="12" fillId="0" borderId="0" xfId="0" applyFont="1" applyAlignment="1" applyProtection="1">
      <alignment horizontal="right"/>
    </xf>
    <xf numFmtId="43" fontId="12" fillId="0" borderId="0" xfId="0" applyNumberFormat="1" applyFont="1" applyProtection="1"/>
    <xf numFmtId="43" fontId="12" fillId="0" borderId="10" xfId="0" applyNumberFormat="1" applyFont="1" applyBorder="1" applyProtection="1"/>
    <xf numFmtId="0" fontId="8" fillId="0" borderId="2" xfId="0" applyFont="1" applyBorder="1" applyAlignment="1" applyProtection="1">
      <alignment horizontal="center"/>
    </xf>
    <xf numFmtId="174" fontId="8" fillId="0" borderId="0" xfId="0" applyNumberFormat="1" applyFont="1" applyProtection="1"/>
    <xf numFmtId="39" fontId="8" fillId="0" borderId="0" xfId="0" applyNumberFormat="1" applyFont="1" applyProtection="1"/>
    <xf numFmtId="9" fontId="8" fillId="0" borderId="0" xfId="11" applyFont="1" applyAlignment="1" applyProtection="1">
      <alignment horizontal="left"/>
    </xf>
    <xf numFmtId="0" fontId="6" fillId="0" borderId="0" xfId="0" applyFont="1" applyFill="1" applyAlignment="1">
      <alignment horizontal="left" indent="2"/>
    </xf>
    <xf numFmtId="170" fontId="6" fillId="0" borderId="0" xfId="0" applyNumberFormat="1" applyFont="1" applyFill="1"/>
    <xf numFmtId="0" fontId="6" fillId="0" borderId="0" xfId="0" applyFont="1" applyFill="1" applyAlignment="1">
      <alignment horizontal="left"/>
    </xf>
    <xf numFmtId="0" fontId="9" fillId="0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24" fillId="0" borderId="0" xfId="0" applyFont="1" applyFill="1" applyAlignment="1">
      <alignment horizontal="center"/>
    </xf>
    <xf numFmtId="40" fontId="8" fillId="0" borderId="2" xfId="0" applyNumberFormat="1" applyFont="1" applyFill="1" applyBorder="1" applyProtection="1"/>
    <xf numFmtId="43" fontId="8" fillId="0" borderId="0" xfId="0" applyNumberFormat="1" applyFont="1" applyFill="1" applyProtection="1"/>
    <xf numFmtId="40" fontId="8" fillId="0" borderId="2" xfId="0" applyNumberFormat="1" applyFont="1" applyBorder="1" applyProtection="1"/>
    <xf numFmtId="169" fontId="21" fillId="0" borderId="0" xfId="0" applyNumberFormat="1" applyFont="1"/>
    <xf numFmtId="0" fontId="21" fillId="0" borderId="0" xfId="0" applyFont="1"/>
    <xf numFmtId="169" fontId="6" fillId="0" borderId="4" xfId="1" applyNumberFormat="1" applyFont="1" applyFill="1" applyBorder="1"/>
    <xf numFmtId="169" fontId="21" fillId="0" borderId="0" xfId="1" applyNumberFormat="1" applyFont="1" applyFill="1" applyAlignment="1">
      <alignment horizontal="center"/>
    </xf>
    <xf numFmtId="40" fontId="3" fillId="0" borderId="4" xfId="3" applyNumberFormat="1" applyFont="1" applyFill="1" applyBorder="1" applyAlignment="1">
      <alignment horizontal="right"/>
    </xf>
    <xf numFmtId="0" fontId="17" fillId="0" borderId="0" xfId="7" applyFont="1" applyFill="1">
      <alignment vertical="top"/>
    </xf>
    <xf numFmtId="0" fontId="25" fillId="0" borderId="0" xfId="7" applyFont="1" applyFill="1">
      <alignment vertical="top"/>
    </xf>
    <xf numFmtId="14" fontId="25" fillId="0" borderId="0" xfId="7" applyNumberFormat="1" applyFont="1" applyFill="1">
      <alignment vertical="top"/>
    </xf>
    <xf numFmtId="0" fontId="17" fillId="0" borderId="0" xfId="7" applyFont="1" applyFill="1" applyBorder="1">
      <alignment vertical="top"/>
    </xf>
    <xf numFmtId="14" fontId="17" fillId="0" borderId="0" xfId="7" applyNumberFormat="1" applyFont="1" applyFill="1" applyAlignment="1">
      <alignment vertical="top"/>
    </xf>
    <xf numFmtId="1" fontId="17" fillId="0" borderId="0" xfId="7" applyNumberFormat="1" applyFont="1" applyFill="1" applyAlignment="1">
      <alignment vertical="top"/>
    </xf>
    <xf numFmtId="1" fontId="17" fillId="0" borderId="0" xfId="7" applyNumberFormat="1" applyFont="1" applyFill="1" applyBorder="1" applyAlignment="1">
      <alignment vertical="top"/>
    </xf>
    <xf numFmtId="1" fontId="17" fillId="0" borderId="0" xfId="7" applyNumberFormat="1" applyFont="1" applyFill="1">
      <alignment vertical="top"/>
    </xf>
    <xf numFmtId="1" fontId="16" fillId="0" borderId="8" xfId="7" applyNumberFormat="1" applyFont="1" applyFill="1" applyBorder="1">
      <alignment vertical="top"/>
    </xf>
    <xf numFmtId="1" fontId="25" fillId="0" borderId="0" xfId="7" applyNumberFormat="1" applyFont="1" applyFill="1">
      <alignment vertical="top"/>
    </xf>
    <xf numFmtId="14" fontId="17" fillId="0" borderId="0" xfId="7" applyNumberFormat="1" applyFont="1" applyFill="1">
      <alignment vertical="top"/>
    </xf>
    <xf numFmtId="1" fontId="17" fillId="0" borderId="0" xfId="7" applyNumberFormat="1" applyFont="1" applyFill="1" applyBorder="1">
      <alignment vertical="top"/>
    </xf>
    <xf numFmtId="9" fontId="6" fillId="0" borderId="0" xfId="11" applyFont="1" applyBorder="1"/>
    <xf numFmtId="169" fontId="6" fillId="0" borderId="7" xfId="0" applyNumberFormat="1" applyFont="1" applyBorder="1"/>
    <xf numFmtId="0" fontId="27" fillId="0" borderId="0" xfId="0" applyFont="1" applyAlignment="1">
      <alignment horizontal="center"/>
    </xf>
    <xf numFmtId="44" fontId="0" fillId="0" borderId="0" xfId="8" applyNumberFormat="1" applyFont="1"/>
    <xf numFmtId="44" fontId="0" fillId="0" borderId="0" xfId="8" applyFont="1"/>
    <xf numFmtId="0" fontId="26" fillId="0" borderId="0" xfId="0" applyFont="1"/>
    <xf numFmtId="175" fontId="6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169" fontId="6" fillId="0" borderId="0" xfId="1" applyNumberFormat="1" applyFont="1" applyFill="1" applyAlignment="1">
      <alignment horizontal="center"/>
    </xf>
    <xf numFmtId="169" fontId="6" fillId="0" borderId="0" xfId="1" applyNumberFormat="1" applyFont="1" applyAlignment="1">
      <alignment horizontal="center"/>
    </xf>
    <xf numFmtId="176" fontId="6" fillId="0" borderId="0" xfId="1" applyNumberFormat="1" applyFont="1" applyAlignment="1">
      <alignment horizontal="center"/>
    </xf>
    <xf numFmtId="43" fontId="6" fillId="0" borderId="0" xfId="1" applyNumberFormat="1" applyFont="1" applyAlignment="1">
      <alignment horizontal="center"/>
    </xf>
    <xf numFmtId="43" fontId="6" fillId="0" borderId="0" xfId="1" applyFont="1" applyAlignment="1">
      <alignment horizontal="center"/>
    </xf>
    <xf numFmtId="0" fontId="7" fillId="0" borderId="0" xfId="0" applyFont="1"/>
    <xf numFmtId="169" fontId="7" fillId="0" borderId="0" xfId="1" applyNumberFormat="1" applyFont="1" applyFill="1" applyAlignment="1">
      <alignment horizontal="center"/>
    </xf>
    <xf numFmtId="169" fontId="7" fillId="0" borderId="0" xfId="1" applyNumberFormat="1" applyFont="1" applyAlignment="1">
      <alignment horizontal="center"/>
    </xf>
    <xf numFmtId="176" fontId="7" fillId="0" borderId="0" xfId="1" applyNumberFormat="1" applyFont="1" applyAlignment="1">
      <alignment horizontal="center"/>
    </xf>
    <xf numFmtId="43" fontId="7" fillId="0" borderId="0" xfId="1" applyNumberFormat="1" applyFont="1" applyAlignment="1">
      <alignment horizontal="center"/>
    </xf>
    <xf numFmtId="43" fontId="7" fillId="0" borderId="0" xfId="1" applyFont="1" applyAlignment="1">
      <alignment horizontal="center"/>
    </xf>
    <xf numFmtId="17" fontId="6" fillId="0" borderId="0" xfId="0" quotePrefix="1" applyNumberFormat="1" applyFont="1" applyAlignment="1">
      <alignment horizontal="center"/>
    </xf>
    <xf numFmtId="176" fontId="6" fillId="0" borderId="0" xfId="1" applyNumberFormat="1" applyFont="1" applyFill="1"/>
    <xf numFmtId="176" fontId="6" fillId="0" borderId="0" xfId="1" applyNumberFormat="1" applyFont="1"/>
    <xf numFmtId="43" fontId="6" fillId="0" borderId="0" xfId="1" applyNumberFormat="1" applyFont="1"/>
    <xf numFmtId="0" fontId="6" fillId="0" borderId="0" xfId="0" quotePrefix="1" applyFont="1" applyAlignment="1">
      <alignment horizontal="center"/>
    </xf>
    <xf numFmtId="169" fontId="6" fillId="0" borderId="7" xfId="1" applyNumberFormat="1" applyFont="1" applyFill="1" applyBorder="1" applyAlignment="1">
      <alignment horizontal="center"/>
    </xf>
    <xf numFmtId="169" fontId="6" fillId="0" borderId="7" xfId="1" applyNumberFormat="1" applyFont="1" applyBorder="1" applyAlignment="1">
      <alignment horizontal="center"/>
    </xf>
    <xf numFmtId="43" fontId="6" fillId="0" borderId="7" xfId="1" applyNumberFormat="1" applyFont="1" applyBorder="1" applyAlignment="1">
      <alignment horizontal="center"/>
    </xf>
    <xf numFmtId="176" fontId="6" fillId="0" borderId="0" xfId="0" applyNumberFormat="1" applyFont="1"/>
    <xf numFmtId="169" fontId="6" fillId="0" borderId="0" xfId="1" applyNumberFormat="1" applyFont="1" applyFill="1" applyBorder="1" applyAlignment="1">
      <alignment horizontal="center"/>
    </xf>
    <xf numFmtId="169" fontId="6" fillId="0" borderId="0" xfId="1" applyNumberFormat="1" applyFont="1" applyBorder="1" applyAlignment="1">
      <alignment horizontal="center"/>
    </xf>
    <xf numFmtId="43" fontId="6" fillId="0" borderId="0" xfId="1" applyNumberFormat="1" applyFont="1" applyBorder="1" applyAlignment="1">
      <alignment horizontal="center"/>
    </xf>
    <xf numFmtId="177" fontId="6" fillId="0" borderId="0" xfId="0" applyNumberFormat="1" applyFont="1" applyFill="1"/>
    <xf numFmtId="169" fontId="6" fillId="0" borderId="2" xfId="1" applyNumberFormat="1" applyFont="1" applyFill="1" applyBorder="1"/>
    <xf numFmtId="169" fontId="6" fillId="0" borderId="14" xfId="1" applyNumberFormat="1" applyFont="1" applyBorder="1" applyAlignment="1">
      <alignment horizontal="center"/>
    </xf>
    <xf numFmtId="44" fontId="6" fillId="0" borderId="0" xfId="8" applyNumberFormat="1" applyFont="1"/>
    <xf numFmtId="44" fontId="6" fillId="0" borderId="0" xfId="8" applyFont="1"/>
    <xf numFmtId="169" fontId="8" fillId="0" borderId="0" xfId="1" applyNumberFormat="1" applyFont="1" applyFill="1" applyAlignment="1">
      <alignment horizontal="center"/>
    </xf>
    <xf numFmtId="169" fontId="24" fillId="0" borderId="0" xfId="1" applyNumberFormat="1" applyFont="1" applyFill="1" applyAlignment="1">
      <alignment horizontal="center"/>
    </xf>
    <xf numFmtId="169" fontId="8" fillId="0" borderId="7" xfId="1" applyNumberFormat="1" applyFont="1" applyFill="1" applyBorder="1" applyAlignment="1">
      <alignment horizontal="center"/>
    </xf>
    <xf numFmtId="169" fontId="8" fillId="0" borderId="0" xfId="1" applyNumberFormat="1" applyFont="1" applyFill="1" applyBorder="1" applyAlignment="1">
      <alignment horizontal="center"/>
    </xf>
    <xf numFmtId="0" fontId="10" fillId="0" borderId="0" xfId="0" applyFont="1"/>
    <xf numFmtId="0" fontId="28" fillId="0" borderId="0" xfId="0" applyFont="1"/>
    <xf numFmtId="0" fontId="10" fillId="0" borderId="0" xfId="0" applyFont="1" applyAlignment="1">
      <alignment horizontal="center"/>
    </xf>
    <xf numFmtId="169" fontId="10" fillId="0" borderId="0" xfId="1" applyNumberFormat="1" applyFont="1" applyFill="1"/>
    <xf numFmtId="169" fontId="10" fillId="0" borderId="0" xfId="1" applyNumberFormat="1" applyFont="1" applyFill="1" applyAlignment="1">
      <alignment horizontal="center"/>
    </xf>
    <xf numFmtId="175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169" fontId="29" fillId="0" borderId="0" xfId="1" applyNumberFormat="1" applyFont="1" applyFill="1" applyAlignment="1">
      <alignment horizontal="center"/>
    </xf>
    <xf numFmtId="10" fontId="6" fillId="0" borderId="0" xfId="11" applyNumberFormat="1" applyFont="1"/>
    <xf numFmtId="169" fontId="6" fillId="0" borderId="4" xfId="1" applyNumberFormat="1" applyFont="1" applyBorder="1"/>
    <xf numFmtId="10" fontId="6" fillId="0" borderId="4" xfId="11" applyNumberFormat="1" applyFont="1" applyBorder="1"/>
    <xf numFmtId="169" fontId="6" fillId="0" borderId="0" xfId="1" applyNumberFormat="1" applyFont="1" applyBorder="1"/>
    <xf numFmtId="175" fontId="7" fillId="0" borderId="0" xfId="0" applyNumberFormat="1" applyFont="1" applyAlignment="1">
      <alignment horizontal="center"/>
    </xf>
    <xf numFmtId="169" fontId="6" fillId="0" borderId="14" xfId="1" applyNumberFormat="1" applyFont="1" applyFill="1" applyBorder="1"/>
    <xf numFmtId="44" fontId="6" fillId="0" borderId="14" xfId="8" applyFont="1" applyFill="1" applyBorder="1"/>
    <xf numFmtId="169" fontId="28" fillId="0" borderId="0" xfId="1" applyNumberFormat="1" applyFont="1" applyFill="1"/>
    <xf numFmtId="178" fontId="28" fillId="0" borderId="14" xfId="8" applyNumberFormat="1" applyFont="1" applyFill="1" applyBorder="1"/>
    <xf numFmtId="169" fontId="6" fillId="0" borderId="2" xfId="1" applyNumberFormat="1" applyFont="1" applyFill="1" applyBorder="1" applyAlignment="1">
      <alignment horizontal="center"/>
    </xf>
    <xf numFmtId="176" fontId="6" fillId="0" borderId="2" xfId="0" applyNumberFormat="1" applyFont="1" applyBorder="1"/>
    <xf numFmtId="43" fontId="30" fillId="0" borderId="0" xfId="1" applyFont="1" applyAlignment="1">
      <alignment horizontal="center"/>
    </xf>
    <xf numFmtId="169" fontId="6" fillId="0" borderId="14" xfId="1" applyNumberFormat="1" applyFont="1" applyFill="1" applyBorder="1" applyAlignment="1">
      <alignment horizontal="center"/>
    </xf>
    <xf numFmtId="43" fontId="30" fillId="0" borderId="0" xfId="1" applyFont="1" applyBorder="1" applyAlignment="1">
      <alignment horizontal="center"/>
    </xf>
    <xf numFmtId="43" fontId="30" fillId="0" borderId="0" xfId="1" applyFont="1" applyFill="1" applyAlignment="1">
      <alignment horizontal="center"/>
    </xf>
    <xf numFmtId="0" fontId="30" fillId="0" borderId="0" xfId="0" applyFont="1"/>
    <xf numFmtId="0" fontId="31" fillId="0" borderId="0" xfId="0" applyFont="1"/>
    <xf numFmtId="169" fontId="32" fillId="0" borderId="0" xfId="13" applyNumberFormat="1" applyFont="1" applyFill="1" applyBorder="1"/>
    <xf numFmtId="169" fontId="32" fillId="0" borderId="2" xfId="13" applyNumberFormat="1" applyFont="1" applyFill="1" applyBorder="1"/>
    <xf numFmtId="169" fontId="32" fillId="0" borderId="14" xfId="13" applyNumberFormat="1" applyFont="1" applyFill="1" applyBorder="1"/>
    <xf numFmtId="37" fontId="8" fillId="0" borderId="0" xfId="6" applyNumberFormat="1" applyFont="1" applyAlignment="1"/>
    <xf numFmtId="37" fontId="8" fillId="0" borderId="0" xfId="6" applyNumberFormat="1" applyFont="1" applyAlignment="1">
      <alignment horizontal="center"/>
    </xf>
    <xf numFmtId="0" fontId="33" fillId="0" borderId="0" xfId="0" applyFont="1"/>
    <xf numFmtId="0" fontId="35" fillId="0" borderId="0" xfId="0" applyFont="1" applyAlignment="1">
      <alignment horizontal="center"/>
    </xf>
    <xf numFmtId="0" fontId="34" fillId="0" borderId="18" xfId="0" applyFont="1" applyBorder="1" applyAlignment="1">
      <alignment horizontal="centerContinuous"/>
    </xf>
    <xf numFmtId="0" fontId="34" fillId="0" borderId="0" xfId="0" applyFont="1" applyAlignment="1">
      <alignment horizontal="centerContinuous"/>
    </xf>
    <xf numFmtId="0" fontId="34" fillId="0" borderId="19" xfId="0" applyFont="1" applyBorder="1" applyAlignment="1">
      <alignment horizontal="centerContinuous"/>
    </xf>
    <xf numFmtId="174" fontId="34" fillId="0" borderId="18" xfId="0" applyNumberFormat="1" applyFont="1" applyBorder="1" applyAlignment="1">
      <alignment horizontal="centerContinuous"/>
    </xf>
    <xf numFmtId="0" fontId="34" fillId="0" borderId="20" xfId="0" applyFont="1" applyBorder="1"/>
    <xf numFmtId="0" fontId="34" fillId="0" borderId="21" xfId="0" applyFont="1" applyBorder="1"/>
    <xf numFmtId="0" fontId="34" fillId="0" borderId="22" xfId="0" applyFont="1" applyBorder="1"/>
    <xf numFmtId="0" fontId="33" fillId="0" borderId="7" xfId="0" applyFont="1" applyBorder="1" applyAlignment="1">
      <alignment horizontal="center"/>
    </xf>
    <xf numFmtId="0" fontId="33" fillId="0" borderId="0" xfId="0" applyFont="1" applyAlignment="1">
      <alignment horizontal="right"/>
    </xf>
    <xf numFmtId="174" fontId="33" fillId="0" borderId="0" xfId="0" applyNumberFormat="1" applyFont="1" applyAlignment="1">
      <alignment horizontal="center"/>
    </xf>
    <xf numFmtId="40" fontId="33" fillId="0" borderId="0" xfId="0" applyNumberFormat="1" applyFont="1"/>
    <xf numFmtId="40" fontId="33" fillId="0" borderId="2" xfId="0" applyNumberFormat="1" applyFont="1" applyBorder="1"/>
    <xf numFmtId="39" fontId="33" fillId="0" borderId="0" xfId="0" applyNumberFormat="1" applyFont="1"/>
    <xf numFmtId="43" fontId="33" fillId="0" borderId="0" xfId="5" applyFont="1"/>
    <xf numFmtId="0" fontId="33" fillId="0" borderId="2" xfId="0" applyFont="1" applyBorder="1"/>
    <xf numFmtId="43" fontId="33" fillId="0" borderId="23" xfId="5" applyFont="1" applyBorder="1"/>
    <xf numFmtId="10" fontId="33" fillId="0" borderId="0" xfId="0" applyNumberFormat="1" applyFont="1" applyAlignment="1">
      <alignment horizontal="left"/>
    </xf>
    <xf numFmtId="43" fontId="33" fillId="0" borderId="0" xfId="0" applyNumberFormat="1" applyFont="1"/>
    <xf numFmtId="43" fontId="36" fillId="0" borderId="0" xfId="0" applyNumberFormat="1" applyFont="1"/>
    <xf numFmtId="43" fontId="33" fillId="0" borderId="2" xfId="0" applyNumberFormat="1" applyFont="1" applyBorder="1"/>
    <xf numFmtId="0" fontId="34" fillId="0" borderId="0" xfId="0" applyFont="1" applyAlignment="1">
      <alignment horizontal="right"/>
    </xf>
    <xf numFmtId="43" fontId="34" fillId="0" borderId="14" xfId="0" applyNumberFormat="1" applyFont="1" applyBorder="1"/>
    <xf numFmtId="43" fontId="34" fillId="0" borderId="14" xfId="5" applyFont="1" applyBorder="1"/>
    <xf numFmtId="0" fontId="33" fillId="0" borderId="0" xfId="0" applyFont="1" applyBorder="1"/>
    <xf numFmtId="40" fontId="33" fillId="0" borderId="0" xfId="0" applyNumberFormat="1" applyFont="1" applyBorder="1"/>
    <xf numFmtId="9" fontId="33" fillId="0" borderId="0" xfId="0" applyNumberFormat="1" applyFont="1" applyAlignment="1">
      <alignment horizontal="left"/>
    </xf>
    <xf numFmtId="43" fontId="36" fillId="0" borderId="0" xfId="0" applyNumberFormat="1" applyFont="1" applyBorder="1"/>
    <xf numFmtId="0" fontId="3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71" fontId="6" fillId="0" borderId="0" xfId="0" applyNumberFormat="1" applyFont="1" applyAlignment="1">
      <alignment horizontal="center"/>
    </xf>
    <xf numFmtId="171" fontId="8" fillId="0" borderId="0" xfId="6" applyNumberFormat="1" applyFont="1" applyFill="1" applyAlignment="1">
      <alignment horizontal="center"/>
    </xf>
    <xf numFmtId="0" fontId="16" fillId="0" borderId="0" xfId="7" applyFont="1" applyFill="1" applyAlignment="1">
      <alignment horizontal="center" vertical="top" wrapText="1"/>
    </xf>
    <xf numFmtId="0" fontId="17" fillId="0" borderId="0" xfId="7" applyFont="1" applyFill="1" applyAlignment="1">
      <alignment horizontal="left" vertical="top"/>
    </xf>
    <xf numFmtId="4" fontId="17" fillId="0" borderId="0" xfId="7" applyNumberFormat="1" applyFont="1" applyFill="1" applyAlignment="1">
      <alignment horizontal="right" vertical="top"/>
    </xf>
    <xf numFmtId="4" fontId="16" fillId="0" borderId="3" xfId="7" applyNumberFormat="1" applyFont="1" applyFill="1" applyBorder="1" applyAlignment="1">
      <alignment horizontal="right" vertical="top" wrapText="1"/>
    </xf>
    <xf numFmtId="4" fontId="17" fillId="0" borderId="6" xfId="7" applyNumberFormat="1" applyFont="1" applyFill="1" applyBorder="1" applyAlignment="1">
      <alignment horizontal="right" vertical="top" wrapText="1"/>
    </xf>
    <xf numFmtId="4" fontId="17" fillId="0" borderId="0" xfId="7" applyNumberFormat="1" applyFont="1" applyFill="1" applyAlignment="1">
      <alignment horizontal="right" vertical="top" wrapText="1"/>
    </xf>
    <xf numFmtId="4" fontId="16" fillId="0" borderId="0" xfId="7" applyNumberFormat="1" applyFont="1" applyFill="1" applyAlignment="1">
      <alignment horizontal="right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8" fillId="0" borderId="0" xfId="6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37" fontId="11" fillId="0" borderId="0" xfId="6" applyNumberFormat="1" applyFont="1" applyFill="1" applyAlignment="1">
      <alignment horizontal="center"/>
    </xf>
    <xf numFmtId="171" fontId="11" fillId="0" borderId="0" xfId="6" applyNumberFormat="1" applyFont="1" applyFill="1" applyAlignment="1">
      <alignment horizontal="center"/>
    </xf>
    <xf numFmtId="37" fontId="6" fillId="0" borderId="0" xfId="0" applyNumberFormat="1" applyFont="1" applyAlignment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12" fillId="0" borderId="11" xfId="0" applyFont="1" applyFill="1" applyBorder="1" applyAlignment="1" applyProtection="1">
      <alignment horizontal="center"/>
    </xf>
    <xf numFmtId="0" fontId="12" fillId="0" borderId="12" xfId="0" applyFont="1" applyFill="1" applyBorder="1" applyAlignment="1" applyProtection="1">
      <alignment horizontal="center"/>
    </xf>
    <xf numFmtId="0" fontId="12" fillId="0" borderId="13" xfId="0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/>
    </xf>
    <xf numFmtId="171" fontId="6" fillId="0" borderId="0" xfId="0" applyNumberFormat="1" applyFont="1" applyAlignment="1">
      <alignment horizontal="center"/>
    </xf>
    <xf numFmtId="171" fontId="8" fillId="0" borderId="0" xfId="6" applyNumberFormat="1" applyFont="1" applyFill="1" applyAlignment="1">
      <alignment horizontal="center"/>
    </xf>
    <xf numFmtId="0" fontId="16" fillId="0" borderId="9" xfId="7" applyFont="1" applyFill="1" applyBorder="1" applyAlignment="1">
      <alignment horizontal="center" vertical="top"/>
    </xf>
    <xf numFmtId="0" fontId="16" fillId="0" borderId="7" xfId="7" applyFont="1" applyFill="1" applyBorder="1" applyAlignment="1">
      <alignment horizontal="center" vertical="top"/>
    </xf>
    <xf numFmtId="0" fontId="16" fillId="0" borderId="0" xfId="7" applyFont="1" applyFill="1" applyAlignment="1">
      <alignment horizontal="left" vertical="top" wrapText="1"/>
    </xf>
    <xf numFmtId="4" fontId="16" fillId="0" borderId="3" xfId="7" applyNumberFormat="1" applyFont="1" applyFill="1" applyBorder="1" applyAlignment="1">
      <alignment horizontal="right" vertical="top" wrapText="1"/>
    </xf>
    <xf numFmtId="4" fontId="17" fillId="0" borderId="6" xfId="7" applyNumberFormat="1" applyFont="1" applyFill="1" applyBorder="1" applyAlignment="1">
      <alignment horizontal="right" vertical="top" wrapText="1"/>
    </xf>
    <xf numFmtId="4" fontId="16" fillId="0" borderId="5" xfId="7" applyNumberFormat="1" applyFont="1" applyFill="1" applyBorder="1" applyAlignment="1">
      <alignment horizontal="right" vertical="top" wrapText="1"/>
    </xf>
    <xf numFmtId="0" fontId="16" fillId="0" borderId="6" xfId="7" applyFont="1" applyFill="1" applyBorder="1" applyAlignment="1">
      <alignment horizontal="left" vertical="top" wrapText="1" readingOrder="1"/>
    </xf>
    <xf numFmtId="1" fontId="17" fillId="0" borderId="0" xfId="7" applyNumberFormat="1" applyFont="1" applyFill="1" applyAlignment="1">
      <alignment horizontal="left" vertical="top" wrapText="1"/>
    </xf>
    <xf numFmtId="14" fontId="17" fillId="0" borderId="0" xfId="7" applyNumberFormat="1" applyFont="1" applyFill="1" applyAlignment="1">
      <alignment horizontal="right" vertical="top" wrapText="1"/>
    </xf>
    <xf numFmtId="0" fontId="17" fillId="0" borderId="0" xfId="7" applyFont="1" applyFill="1" applyAlignment="1">
      <alignment horizontal="left" vertical="top" wrapText="1"/>
    </xf>
    <xf numFmtId="4" fontId="17" fillId="0" borderId="0" xfId="7" applyNumberFormat="1" applyFont="1" applyFill="1" applyAlignment="1">
      <alignment horizontal="right" vertical="top" wrapText="1"/>
    </xf>
    <xf numFmtId="4" fontId="16" fillId="0" borderId="0" xfId="7" applyNumberFormat="1" applyFont="1" applyFill="1" applyAlignment="1">
      <alignment horizontal="right" vertical="top" wrapText="1"/>
    </xf>
    <xf numFmtId="0" fontId="16" fillId="0" borderId="5" xfId="7" applyFont="1" applyFill="1" applyBorder="1" applyAlignment="1">
      <alignment horizontal="left" vertical="top" wrapText="1" readingOrder="1"/>
    </xf>
    <xf numFmtId="1" fontId="17" fillId="0" borderId="0" xfId="7" applyNumberFormat="1" applyFont="1" applyFill="1" applyAlignment="1">
      <alignment horizontal="left" vertical="top"/>
    </xf>
    <xf numFmtId="14" fontId="17" fillId="0" borderId="0" xfId="7" applyNumberFormat="1" applyFont="1" applyFill="1" applyAlignment="1">
      <alignment horizontal="right" vertical="top"/>
    </xf>
    <xf numFmtId="0" fontId="17" fillId="0" borderId="0" xfId="7" applyFont="1" applyFill="1" applyAlignment="1">
      <alignment horizontal="left" vertical="top"/>
    </xf>
    <xf numFmtId="4" fontId="17" fillId="0" borderId="0" xfId="7" applyNumberFormat="1" applyFont="1" applyFill="1" applyAlignment="1">
      <alignment horizontal="right" vertical="top"/>
    </xf>
    <xf numFmtId="0" fontId="15" fillId="0" borderId="0" xfId="7" applyFont="1" applyFill="1" applyAlignment="1">
      <alignment horizontal="center" vertical="top"/>
    </xf>
    <xf numFmtId="171" fontId="17" fillId="0" borderId="0" xfId="7" applyNumberFormat="1" applyFont="1" applyFill="1" applyAlignment="1">
      <alignment horizontal="center" vertical="top" wrapText="1"/>
    </xf>
    <xf numFmtId="0" fontId="16" fillId="0" borderId="0" xfId="7" applyFont="1" applyFill="1" applyAlignment="1">
      <alignment horizontal="center" vertical="top" wrapText="1"/>
    </xf>
    <xf numFmtId="0" fontId="16" fillId="0" borderId="0" xfId="7" applyFont="1" applyFill="1" applyAlignment="1">
      <alignment horizontal="center" vertical="top" wrapText="1" readingOrder="1"/>
    </xf>
    <xf numFmtId="0" fontId="31" fillId="0" borderId="0" xfId="0" applyFont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</cellXfs>
  <cellStyles count="14">
    <cellStyle name="Comma" xfId="1" builtinId="3"/>
    <cellStyle name="Comma 2" xfId="5"/>
    <cellStyle name="Comma 3" xfId="4"/>
    <cellStyle name="Comma 4" xfId="10"/>
    <cellStyle name="Comma 5" xfId="13"/>
    <cellStyle name="Currency" xfId="8" builtinId="4"/>
    <cellStyle name="Normal" xfId="0" builtinId="0"/>
    <cellStyle name="Normal 2" xfId="3"/>
    <cellStyle name="Normal 3" xfId="7"/>
    <cellStyle name="Normal 4" xfId="9"/>
    <cellStyle name="Normal 7" xfId="2"/>
    <cellStyle name="Normal_Sheet1" xfId="6"/>
    <cellStyle name="Percent" xfId="11" builtinId="5"/>
    <cellStyle name="Percent 2" xfId="1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222250</xdr:colOff>
      <xdr:row>0</xdr:row>
      <xdr:rowOff>114300</xdr:rowOff>
    </xdr:from>
    <xdr:to>
      <xdr:col>10</xdr:col>
      <xdr:colOff>31750</xdr:colOff>
      <xdr:row>3</xdr:row>
      <xdr:rowOff>142875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3841750" y="114300"/>
          <a:ext cx="2222500" cy="102870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FF0000"/>
              </a:solidFill>
              <a:latin typeface="Calibri"/>
            </a:rPr>
            <a:t>FILED</a:t>
          </a:r>
          <a:endParaRPr 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Calibri"/>
            </a:rPr>
            <a:t>JUNE 19, 2018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Calibri"/>
            </a:rPr>
            <a:t>INDIANA UTILITY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FF0000"/>
              </a:solidFill>
              <a:latin typeface="Calibri"/>
            </a:rPr>
            <a:t>REGULATORY COMMISSION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FF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392906</xdr:colOff>
      <xdr:row>42</xdr:row>
      <xdr:rowOff>107156</xdr:rowOff>
    </xdr:from>
    <xdr:ext cx="1176156" cy="264560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8893969" y="7917656"/>
          <a:ext cx="11761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(Exhibit 1 Page</a:t>
          </a:r>
          <a:r>
            <a:rPr lang="en-US" sz="1100" baseline="0"/>
            <a:t> 1)</a:t>
          </a:r>
          <a:endParaRPr lang="en-US" sz="1100"/>
        </a:p>
      </xdr:txBody>
    </xdr:sp>
    <xdr:clientData/>
  </xdr:oneCellAnchor>
  <xdr:oneCellAnchor>
    <xdr:from>
      <xdr:col>7</xdr:col>
      <xdr:colOff>47626</xdr:colOff>
      <xdr:row>42</xdr:row>
      <xdr:rowOff>119063</xdr:rowOff>
    </xdr:from>
    <xdr:ext cx="1176156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298157" y="7929563"/>
          <a:ext cx="11761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(Exhibit 1 Page</a:t>
          </a:r>
          <a:r>
            <a:rPr lang="en-US" sz="1100" baseline="0"/>
            <a:t> 1)</a:t>
          </a:r>
          <a:endParaRPr lang="en-US" sz="1100"/>
        </a:p>
      </xdr:txBody>
    </xdr:sp>
    <xdr:clientData/>
  </xdr:oneCellAnchor>
  <xdr:twoCellAnchor editAs="oneCell">
    <xdr:from>
      <xdr:col>0</xdr:col>
      <xdr:colOff>0</xdr:colOff>
      <xdr:row>6</xdr:row>
      <xdr:rowOff>0</xdr:rowOff>
    </xdr:from>
    <xdr:to>
      <xdr:col>16</xdr:col>
      <xdr:colOff>342900</xdr:colOff>
      <xdr:row>46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0"/>
          <a:ext cx="10058400" cy="7772400"/>
        </a:xfrm>
        <a:prstGeom prst="rect">
          <a:avLst/>
        </a:prstGeom>
      </xdr:spPr>
    </xdr:pic>
    <xdr:clientData/>
  </xdr:twoCellAnchor>
  <xdr:oneCellAnchor>
    <xdr:from>
      <xdr:col>14</xdr:col>
      <xdr:colOff>392905</xdr:colOff>
      <xdr:row>25</xdr:row>
      <xdr:rowOff>142874</xdr:rowOff>
    </xdr:from>
    <xdr:ext cx="1133387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893968" y="4905374"/>
          <a:ext cx="11333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Exhibit 1</a:t>
          </a:r>
          <a:r>
            <a:rPr lang="en-US" sz="1100" baseline="0"/>
            <a:t> Page 1</a:t>
          </a:r>
          <a:endParaRPr lang="en-US" sz="1100"/>
        </a:p>
      </xdr:txBody>
    </xdr:sp>
    <xdr:clientData/>
  </xdr:oneCellAnchor>
  <xdr:oneCellAnchor>
    <xdr:from>
      <xdr:col>7</xdr:col>
      <xdr:colOff>23814</xdr:colOff>
      <xdr:row>25</xdr:row>
      <xdr:rowOff>154782</xdr:rowOff>
    </xdr:from>
    <xdr:ext cx="1133387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4274345" y="4917282"/>
          <a:ext cx="11333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Exhibit 1</a:t>
          </a:r>
          <a:r>
            <a:rPr lang="en-US" sz="1100" baseline="0"/>
            <a:t> Page 1</a:t>
          </a:r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5</xdr:row>
      <xdr:rowOff>79375</xdr:rowOff>
    </xdr:from>
    <xdr:to>
      <xdr:col>16</xdr:col>
      <xdr:colOff>295275</xdr:colOff>
      <xdr:row>46</xdr:row>
      <xdr:rowOff>41275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031875"/>
          <a:ext cx="10058400" cy="7772400"/>
        </a:xfrm>
        <a:prstGeom prst="rect">
          <a:avLst/>
        </a:prstGeom>
      </xdr:spPr>
    </xdr:pic>
    <xdr:clientData/>
  </xdr:twoCellAnchor>
  <xdr:oneCellAnchor>
    <xdr:from>
      <xdr:col>14</xdr:col>
      <xdr:colOff>587375</xdr:colOff>
      <xdr:row>25</xdr:row>
      <xdr:rowOff>111125</xdr:rowOff>
    </xdr:from>
    <xdr:ext cx="1090620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9032875" y="4873625"/>
          <a:ext cx="10906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Exhibit 1 Page 1</a:t>
          </a:r>
        </a:p>
      </xdr:txBody>
    </xdr:sp>
    <xdr:clientData/>
  </xdr:oneCellAnchor>
  <xdr:oneCellAnchor>
    <xdr:from>
      <xdr:col>7</xdr:col>
      <xdr:colOff>301625</xdr:colOff>
      <xdr:row>25</xdr:row>
      <xdr:rowOff>95250</xdr:rowOff>
    </xdr:from>
    <xdr:ext cx="1090620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4524375" y="4857750"/>
          <a:ext cx="10906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Exhibit 1 Page 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5"/>
  <sheetViews>
    <sheetView tabSelected="1" view="pageBreakPreview" zoomScale="60" zoomScaleNormal="100" workbookViewId="0">
      <selection activeCell="I3" sqref="I3"/>
    </sheetView>
  </sheetViews>
  <sheetFormatPr defaultRowHeight="15" x14ac:dyDescent="0.25"/>
  <sheetData>
    <row r="1" spans="1:6" ht="26.25" x14ac:dyDescent="0.4">
      <c r="A1" s="264" t="s">
        <v>0</v>
      </c>
      <c r="B1" s="264"/>
      <c r="C1" s="264"/>
      <c r="D1" s="264"/>
      <c r="E1" s="264"/>
      <c r="F1" s="264"/>
    </row>
    <row r="2" spans="1:6" ht="26.25" x14ac:dyDescent="0.4">
      <c r="A2" s="2"/>
      <c r="B2" s="3"/>
      <c r="C2" s="3"/>
      <c r="D2" s="3"/>
      <c r="E2" s="3"/>
      <c r="F2" s="86"/>
    </row>
    <row r="3" spans="1:6" ht="26.25" x14ac:dyDescent="0.4">
      <c r="A3" s="264" t="s">
        <v>1</v>
      </c>
      <c r="B3" s="264"/>
      <c r="C3" s="264"/>
      <c r="D3" s="264"/>
      <c r="E3" s="264"/>
      <c r="F3" s="264"/>
    </row>
    <row r="4" spans="1:6" ht="26.25" x14ac:dyDescent="0.4">
      <c r="A4" s="2"/>
      <c r="B4" s="3"/>
      <c r="C4" s="3"/>
      <c r="D4" s="3"/>
      <c r="E4" s="3"/>
      <c r="F4" s="86"/>
    </row>
    <row r="5" spans="1:6" ht="26.25" x14ac:dyDescent="0.4">
      <c r="A5" s="264" t="s">
        <v>2</v>
      </c>
      <c r="B5" s="264"/>
      <c r="C5" s="264"/>
      <c r="D5" s="264"/>
      <c r="E5" s="264"/>
      <c r="F5" s="264"/>
    </row>
  </sheetData>
  <mergeCells count="3">
    <mergeCell ref="A3:F3"/>
    <mergeCell ref="A5:F5"/>
    <mergeCell ref="A1:F1"/>
  </mergeCells>
  <printOptions horizontalCentered="1" verticalCentered="1"/>
  <pageMargins left="0.7" right="0.7" top="0.75" bottom="0.75" header="0.3" footer="0.3"/>
  <pageSetup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29"/>
  <sheetViews>
    <sheetView workbookViewId="0">
      <selection activeCell="A6" sqref="A6"/>
    </sheetView>
  </sheetViews>
  <sheetFormatPr defaultColWidth="9.140625" defaultRowHeight="15" x14ac:dyDescent="0.25"/>
  <cols>
    <col min="1" max="1" width="6.85546875" style="61" customWidth="1"/>
    <col min="2" max="2" width="24.140625" style="62" customWidth="1"/>
    <col min="3" max="3" width="16.42578125" style="62" customWidth="1"/>
    <col min="4" max="4" width="2.85546875" style="63" customWidth="1"/>
    <col min="5" max="5" width="16.42578125" style="62" customWidth="1"/>
    <col min="6" max="6" width="2.85546875" style="63" customWidth="1"/>
    <col min="7" max="7" width="16.42578125" style="62" customWidth="1"/>
    <col min="8" max="16384" width="9.140625" style="62"/>
  </cols>
  <sheetData>
    <row r="1" spans="1:21" s="11" customFormat="1" x14ac:dyDescent="0.25">
      <c r="A1" s="253"/>
      <c r="B1" s="253"/>
      <c r="D1" s="54"/>
      <c r="F1" s="54"/>
      <c r="G1" s="22" t="s">
        <v>130</v>
      </c>
      <c r="Q1" s="28"/>
    </row>
    <row r="2" spans="1:21" s="11" customFormat="1" x14ac:dyDescent="0.25">
      <c r="A2" s="253"/>
      <c r="B2" s="253"/>
      <c r="D2" s="54"/>
      <c r="F2" s="54"/>
      <c r="G2" s="22" t="str">
        <f>+Cover!A5</f>
        <v>CAUSE NO. 45032-S13</v>
      </c>
      <c r="Q2" s="28"/>
    </row>
    <row r="3" spans="1:21" s="11" customFormat="1" x14ac:dyDescent="0.25">
      <c r="A3" s="253"/>
      <c r="B3" s="253"/>
      <c r="C3" s="29"/>
      <c r="D3" s="27"/>
      <c r="F3" s="54"/>
      <c r="G3" s="22" t="s">
        <v>57</v>
      </c>
      <c r="H3" s="33"/>
      <c r="I3" s="33"/>
      <c r="J3" s="33"/>
      <c r="K3" s="33"/>
      <c r="L3" s="33"/>
      <c r="M3" s="33"/>
      <c r="N3" s="33"/>
      <c r="O3" s="30"/>
      <c r="Q3" s="26"/>
      <c r="R3" s="26"/>
      <c r="S3" s="26"/>
      <c r="T3" s="26"/>
      <c r="U3" s="31"/>
    </row>
    <row r="4" spans="1:21" s="11" customFormat="1" x14ac:dyDescent="0.25">
      <c r="A4" s="253"/>
      <c r="B4" s="266" t="str">
        <f>+Cover!A1</f>
        <v>South Eastern Indiana Natural Gas</v>
      </c>
      <c r="C4" s="266"/>
      <c r="D4" s="266"/>
      <c r="E4" s="266"/>
      <c r="F4" s="266"/>
      <c r="G4" s="26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31"/>
    </row>
    <row r="5" spans="1:21" s="11" customFormat="1" x14ac:dyDescent="0.25">
      <c r="A5" s="253"/>
      <c r="B5" s="266" t="s">
        <v>180</v>
      </c>
      <c r="C5" s="266"/>
      <c r="D5" s="266"/>
      <c r="E5" s="266"/>
      <c r="F5" s="266"/>
      <c r="G5" s="26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31"/>
    </row>
    <row r="6" spans="1:21" s="11" customFormat="1" x14ac:dyDescent="0.25">
      <c r="A6" s="253"/>
      <c r="B6" s="280">
        <v>43100</v>
      </c>
      <c r="C6" s="280"/>
      <c r="D6" s="280"/>
      <c r="E6" s="280"/>
      <c r="F6" s="280"/>
      <c r="G6" s="280"/>
      <c r="H6" s="48"/>
      <c r="I6" s="48"/>
      <c r="J6" s="48"/>
      <c r="K6" s="48"/>
      <c r="L6" s="48"/>
      <c r="M6" s="48"/>
      <c r="N6" s="48"/>
      <c r="O6" s="26"/>
      <c r="P6" s="26"/>
      <c r="Q6" s="26"/>
      <c r="R6" s="26"/>
      <c r="S6" s="26"/>
      <c r="T6" s="26"/>
      <c r="U6" s="31"/>
    </row>
    <row r="8" spans="1:21" ht="30" x14ac:dyDescent="0.25">
      <c r="A8" s="64" t="s">
        <v>59</v>
      </c>
      <c r="C8" s="58" t="s">
        <v>181</v>
      </c>
      <c r="D8" s="55"/>
      <c r="E8" s="58" t="s">
        <v>182</v>
      </c>
      <c r="F8" s="55"/>
      <c r="G8" s="58" t="s">
        <v>183</v>
      </c>
    </row>
    <row r="9" spans="1:21" x14ac:dyDescent="0.25">
      <c r="A9" s="61">
        <v>1</v>
      </c>
      <c r="B9" s="87" t="s">
        <v>163</v>
      </c>
      <c r="C9" s="49">
        <v>87319.25</v>
      </c>
      <c r="D9" s="51"/>
      <c r="E9" s="49">
        <v>87319.25</v>
      </c>
      <c r="F9" s="51"/>
      <c r="G9" s="50">
        <f t="shared" ref="G9:G25" si="0">C9-E9</f>
        <v>0</v>
      </c>
    </row>
    <row r="10" spans="1:21" x14ac:dyDescent="0.25">
      <c r="A10" s="61">
        <f>+A9+1</f>
        <v>2</v>
      </c>
      <c r="B10" s="87" t="s">
        <v>164</v>
      </c>
      <c r="C10" s="49">
        <v>15813.98</v>
      </c>
      <c r="D10" s="51"/>
      <c r="E10" s="49">
        <v>15813.98</v>
      </c>
      <c r="F10" s="51"/>
      <c r="G10" s="51">
        <f t="shared" si="0"/>
        <v>0</v>
      </c>
    </row>
    <row r="11" spans="1:21" x14ac:dyDescent="0.25">
      <c r="A11" s="61">
        <f t="shared" ref="A11:A26" si="1">+A10+1</f>
        <v>3</v>
      </c>
      <c r="B11" s="87" t="s">
        <v>165</v>
      </c>
      <c r="C11" s="49">
        <v>17195.16</v>
      </c>
      <c r="D11" s="51"/>
      <c r="E11" s="49">
        <v>16789.46</v>
      </c>
      <c r="F11" s="51"/>
      <c r="G11" s="51">
        <f t="shared" si="0"/>
        <v>405.70000000000073</v>
      </c>
    </row>
    <row r="12" spans="1:21" x14ac:dyDescent="0.25">
      <c r="A12" s="61">
        <f t="shared" si="1"/>
        <v>4</v>
      </c>
      <c r="B12" s="87" t="s">
        <v>166</v>
      </c>
      <c r="C12" s="49">
        <v>693.17</v>
      </c>
      <c r="D12" s="51"/>
      <c r="E12" s="49">
        <v>492.68</v>
      </c>
      <c r="F12" s="51"/>
      <c r="G12" s="51">
        <f t="shared" si="0"/>
        <v>200.48999999999995</v>
      </c>
    </row>
    <row r="13" spans="1:21" x14ac:dyDescent="0.25">
      <c r="A13" s="61">
        <f t="shared" si="1"/>
        <v>5</v>
      </c>
      <c r="B13" s="87" t="s">
        <v>167</v>
      </c>
      <c r="C13" s="49">
        <v>38751.480000000003</v>
      </c>
      <c r="D13" s="51"/>
      <c r="E13" s="49">
        <v>24384.560000000001</v>
      </c>
      <c r="F13" s="51"/>
      <c r="G13" s="51">
        <f t="shared" si="0"/>
        <v>14366.920000000002</v>
      </c>
    </row>
    <row r="14" spans="1:21" x14ac:dyDescent="0.25">
      <c r="A14" s="61">
        <f t="shared" si="1"/>
        <v>6</v>
      </c>
      <c r="B14" s="87" t="s">
        <v>168</v>
      </c>
      <c r="C14" s="49">
        <v>59359</v>
      </c>
      <c r="D14" s="51"/>
      <c r="E14" s="49">
        <v>0</v>
      </c>
      <c r="F14" s="51"/>
      <c r="G14" s="51">
        <f t="shared" si="0"/>
        <v>59359</v>
      </c>
    </row>
    <row r="15" spans="1:21" x14ac:dyDescent="0.25">
      <c r="A15" s="61">
        <f t="shared" si="1"/>
        <v>7</v>
      </c>
      <c r="B15" s="87" t="s">
        <v>64</v>
      </c>
      <c r="C15" s="49">
        <v>1488995.94</v>
      </c>
      <c r="D15" s="51"/>
      <c r="E15" s="49">
        <v>725565.17</v>
      </c>
      <c r="F15" s="51"/>
      <c r="G15" s="51">
        <f t="shared" si="0"/>
        <v>763430.7699999999</v>
      </c>
    </row>
    <row r="16" spans="1:21" x14ac:dyDescent="0.25">
      <c r="A16" s="61">
        <f t="shared" si="1"/>
        <v>8</v>
      </c>
      <c r="B16" s="87" t="s">
        <v>169</v>
      </c>
      <c r="C16" s="49">
        <v>72403.11</v>
      </c>
      <c r="D16" s="51"/>
      <c r="E16" s="49">
        <v>24459.24</v>
      </c>
      <c r="F16" s="51"/>
      <c r="G16" s="51">
        <f t="shared" si="0"/>
        <v>47943.869999999995</v>
      </c>
    </row>
    <row r="17" spans="1:7" x14ac:dyDescent="0.25">
      <c r="A17" s="61">
        <f t="shared" si="1"/>
        <v>9</v>
      </c>
      <c r="B17" s="87" t="s">
        <v>170</v>
      </c>
      <c r="C17" s="49">
        <v>335654.52</v>
      </c>
      <c r="D17" s="51"/>
      <c r="E17" s="49">
        <v>114106.23</v>
      </c>
      <c r="F17" s="51"/>
      <c r="G17" s="51">
        <f t="shared" si="0"/>
        <v>221548.29000000004</v>
      </c>
    </row>
    <row r="18" spans="1:7" x14ac:dyDescent="0.25">
      <c r="A18" s="61">
        <f t="shared" si="1"/>
        <v>10</v>
      </c>
      <c r="B18" s="87" t="s">
        <v>171</v>
      </c>
      <c r="C18" s="49">
        <v>3432.7</v>
      </c>
      <c r="D18" s="51"/>
      <c r="E18" s="49">
        <v>3432.7</v>
      </c>
      <c r="F18" s="51"/>
      <c r="G18" s="51">
        <f t="shared" si="0"/>
        <v>0</v>
      </c>
    </row>
    <row r="19" spans="1:7" x14ac:dyDescent="0.25">
      <c r="A19" s="61">
        <f t="shared" si="1"/>
        <v>11</v>
      </c>
      <c r="B19" s="87" t="s">
        <v>172</v>
      </c>
      <c r="C19" s="49">
        <v>10194.1</v>
      </c>
      <c r="D19" s="51"/>
      <c r="E19" s="49">
        <v>9739.2999999999993</v>
      </c>
      <c r="F19" s="51"/>
      <c r="G19" s="51">
        <f t="shared" si="0"/>
        <v>454.80000000000109</v>
      </c>
    </row>
    <row r="20" spans="1:7" x14ac:dyDescent="0.25">
      <c r="A20" s="61">
        <f t="shared" si="1"/>
        <v>12</v>
      </c>
      <c r="B20" s="87" t="s">
        <v>173</v>
      </c>
      <c r="C20" s="49">
        <v>58118.61</v>
      </c>
      <c r="D20" s="51"/>
      <c r="E20" s="49">
        <v>42429.24</v>
      </c>
      <c r="F20" s="51"/>
      <c r="G20" s="51">
        <f t="shared" si="0"/>
        <v>15689.370000000003</v>
      </c>
    </row>
    <row r="21" spans="1:7" x14ac:dyDescent="0.25">
      <c r="A21" s="61">
        <f t="shared" si="1"/>
        <v>13</v>
      </c>
      <c r="B21" s="87" t="s">
        <v>174</v>
      </c>
      <c r="C21" s="49">
        <v>36391.24</v>
      </c>
      <c r="D21" s="51"/>
      <c r="E21" s="49">
        <v>21141.96</v>
      </c>
      <c r="F21" s="51"/>
      <c r="G21" s="51">
        <f t="shared" si="0"/>
        <v>15249.279999999999</v>
      </c>
    </row>
    <row r="22" spans="1:7" x14ac:dyDescent="0.25">
      <c r="A22" s="61">
        <f t="shared" si="1"/>
        <v>14</v>
      </c>
      <c r="B22" s="88" t="s">
        <v>68</v>
      </c>
      <c r="C22" s="49">
        <v>1105764.25</v>
      </c>
      <c r="D22" s="51"/>
      <c r="E22" s="49">
        <v>453486.5</v>
      </c>
      <c r="F22" s="51"/>
      <c r="G22" s="51">
        <f t="shared" si="0"/>
        <v>652277.75</v>
      </c>
    </row>
    <row r="23" spans="1:7" x14ac:dyDescent="0.25">
      <c r="A23" s="61">
        <f t="shared" si="1"/>
        <v>15</v>
      </c>
      <c r="B23" s="87" t="s">
        <v>175</v>
      </c>
      <c r="C23" s="49">
        <v>178842.89</v>
      </c>
      <c r="D23" s="51"/>
      <c r="E23" s="49">
        <v>44607.14</v>
      </c>
      <c r="F23" s="51"/>
      <c r="G23" s="51">
        <f t="shared" si="0"/>
        <v>134235.75</v>
      </c>
    </row>
    <row r="24" spans="1:7" x14ac:dyDescent="0.25">
      <c r="A24" s="61">
        <f t="shared" si="1"/>
        <v>16</v>
      </c>
      <c r="B24" s="87" t="s">
        <v>176</v>
      </c>
      <c r="C24" s="49">
        <v>19074.28</v>
      </c>
      <c r="D24" s="51"/>
      <c r="E24" s="49">
        <v>13035.48</v>
      </c>
      <c r="F24" s="51"/>
      <c r="G24" s="51">
        <f t="shared" si="0"/>
        <v>6038.7999999999993</v>
      </c>
    </row>
    <row r="25" spans="1:7" x14ac:dyDescent="0.25">
      <c r="A25" s="61">
        <f t="shared" si="1"/>
        <v>17</v>
      </c>
      <c r="B25" s="87" t="s">
        <v>177</v>
      </c>
      <c r="C25" s="52">
        <v>869407</v>
      </c>
      <c r="D25" s="51"/>
      <c r="E25" s="52">
        <v>782021.96</v>
      </c>
      <c r="F25" s="51"/>
      <c r="G25" s="52">
        <f t="shared" si="0"/>
        <v>87385.040000000037</v>
      </c>
    </row>
    <row r="26" spans="1:7" ht="15.75" thickBot="1" x14ac:dyDescent="0.3">
      <c r="A26" s="61">
        <f t="shared" si="1"/>
        <v>18</v>
      </c>
      <c r="B26" s="26"/>
      <c r="C26" s="57">
        <f>SUM(C9:C25)</f>
        <v>4397410.6800000006</v>
      </c>
      <c r="D26" s="56"/>
      <c r="E26" s="57">
        <f>SUM(E9:E25)</f>
        <v>2378824.8499999996</v>
      </c>
      <c r="F26" s="56"/>
      <c r="G26" s="57">
        <f>SUM(G9:G25)</f>
        <v>2018585.8300000003</v>
      </c>
    </row>
    <row r="27" spans="1:7" ht="15.75" thickTop="1" x14ac:dyDescent="0.25"/>
    <row r="28" spans="1:7" x14ac:dyDescent="0.25">
      <c r="B28" s="62" t="s">
        <v>184</v>
      </c>
    </row>
    <row r="29" spans="1:7" x14ac:dyDescent="0.25">
      <c r="B29" s="62" t="s">
        <v>185</v>
      </c>
    </row>
  </sheetData>
  <mergeCells count="3">
    <mergeCell ref="B4:G4"/>
    <mergeCell ref="B5:G5"/>
    <mergeCell ref="B6:G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29"/>
  <sheetViews>
    <sheetView workbookViewId="0">
      <selection activeCell="A6" sqref="A6"/>
    </sheetView>
  </sheetViews>
  <sheetFormatPr defaultColWidth="9.140625" defaultRowHeight="15" x14ac:dyDescent="0.25"/>
  <cols>
    <col min="1" max="1" width="7.5703125" style="62" customWidth="1"/>
    <col min="2" max="2" width="21.85546875" style="62" bestFit="1" customWidth="1"/>
    <col min="3" max="3" width="16.140625" style="62" customWidth="1"/>
    <col min="4" max="4" width="3.85546875" style="62" customWidth="1"/>
    <col min="5" max="5" width="16.140625" style="62" customWidth="1"/>
    <col min="6" max="6" width="3.85546875" style="62" customWidth="1"/>
    <col min="7" max="7" width="16.140625" style="62" customWidth="1"/>
    <col min="8" max="16384" width="9.140625" style="62"/>
  </cols>
  <sheetData>
    <row r="1" spans="1:24" s="11" customFormat="1" x14ac:dyDescent="0.25">
      <c r="B1" s="253"/>
      <c r="C1" s="253"/>
      <c r="D1" s="253"/>
      <c r="G1" s="22" t="s">
        <v>130</v>
      </c>
      <c r="I1" s="54"/>
      <c r="T1" s="28"/>
    </row>
    <row r="2" spans="1:24" s="11" customFormat="1" x14ac:dyDescent="0.25">
      <c r="B2" s="253"/>
      <c r="C2" s="253"/>
      <c r="D2" s="253"/>
      <c r="G2" s="22" t="str">
        <f>+Cover!A5</f>
        <v>CAUSE NO. 45032-S13</v>
      </c>
      <c r="I2" s="54"/>
      <c r="T2" s="28"/>
    </row>
    <row r="3" spans="1:24" s="11" customFormat="1" x14ac:dyDescent="0.25">
      <c r="B3" s="253"/>
      <c r="C3" s="253"/>
      <c r="D3" s="253"/>
      <c r="E3" s="29"/>
      <c r="F3" s="29"/>
      <c r="G3" s="22" t="s">
        <v>98</v>
      </c>
      <c r="I3" s="54"/>
      <c r="K3" s="33"/>
      <c r="L3" s="33"/>
      <c r="M3" s="33"/>
      <c r="N3" s="33"/>
      <c r="O3" s="33"/>
      <c r="P3" s="33"/>
      <c r="Q3" s="33"/>
      <c r="R3" s="30"/>
      <c r="T3" s="26"/>
      <c r="U3" s="26"/>
      <c r="V3" s="26"/>
      <c r="W3" s="26"/>
      <c r="X3" s="31"/>
    </row>
    <row r="4" spans="1:24" s="11" customFormat="1" x14ac:dyDescent="0.25">
      <c r="B4" s="266" t="str">
        <f>+Cover!A1</f>
        <v>South Eastern Indiana Natural Gas</v>
      </c>
      <c r="C4" s="266"/>
      <c r="D4" s="266"/>
      <c r="E4" s="266"/>
      <c r="F4" s="266"/>
      <c r="G4" s="26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31"/>
    </row>
    <row r="5" spans="1:24" s="11" customFormat="1" x14ac:dyDescent="0.25">
      <c r="B5" s="266" t="s">
        <v>186</v>
      </c>
      <c r="C5" s="266"/>
      <c r="D5" s="266"/>
      <c r="E5" s="266"/>
      <c r="F5" s="266"/>
      <c r="G5" s="26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31"/>
    </row>
    <row r="6" spans="1:24" s="11" customFormat="1" x14ac:dyDescent="0.25">
      <c r="B6" s="280">
        <v>43100</v>
      </c>
      <c r="C6" s="280"/>
      <c r="D6" s="280"/>
      <c r="E6" s="280"/>
      <c r="F6" s="280"/>
      <c r="G6" s="280"/>
      <c r="H6" s="48"/>
      <c r="I6" s="48"/>
      <c r="J6" s="48"/>
      <c r="K6" s="48"/>
      <c r="L6" s="48"/>
      <c r="M6" s="48"/>
      <c r="N6" s="48"/>
      <c r="O6" s="48"/>
      <c r="P6" s="48"/>
      <c r="Q6" s="48"/>
      <c r="R6" s="26"/>
      <c r="S6" s="26"/>
      <c r="T6" s="26"/>
      <c r="U6" s="26"/>
      <c r="V6" s="26"/>
      <c r="W6" s="26"/>
      <c r="X6" s="31"/>
    </row>
    <row r="7" spans="1:24" s="11" customFormat="1" x14ac:dyDescent="0.25">
      <c r="B7" s="253"/>
      <c r="C7" s="256"/>
      <c r="D7" s="256"/>
      <c r="E7" s="256"/>
      <c r="F7" s="256"/>
      <c r="G7" s="256"/>
      <c r="H7" s="256"/>
      <c r="I7" s="256"/>
      <c r="J7" s="256"/>
      <c r="K7" s="48"/>
      <c r="L7" s="48"/>
      <c r="M7" s="48"/>
      <c r="N7" s="48"/>
      <c r="O7" s="48"/>
      <c r="P7" s="48"/>
      <c r="Q7" s="48"/>
      <c r="R7" s="26"/>
      <c r="S7" s="26"/>
      <c r="T7" s="26"/>
      <c r="U7" s="26"/>
      <c r="V7" s="26"/>
      <c r="W7" s="26"/>
      <c r="X7" s="31"/>
    </row>
    <row r="8" spans="1:24" ht="30" x14ac:dyDescent="0.25">
      <c r="A8" s="64" t="s">
        <v>59</v>
      </c>
      <c r="C8" s="58" t="s">
        <v>181</v>
      </c>
      <c r="D8" s="55"/>
      <c r="E8" s="58" t="s">
        <v>182</v>
      </c>
      <c r="F8" s="55"/>
      <c r="G8" s="58" t="s">
        <v>187</v>
      </c>
    </row>
    <row r="9" spans="1:24" x14ac:dyDescent="0.25">
      <c r="A9" s="61">
        <v>1</v>
      </c>
      <c r="B9" s="62" t="s">
        <v>163</v>
      </c>
      <c r="C9" s="49">
        <v>87319.25</v>
      </c>
      <c r="D9" s="49"/>
      <c r="E9" s="49">
        <v>87319.25</v>
      </c>
      <c r="F9" s="49"/>
      <c r="G9" s="50">
        <f t="shared" ref="G9:G25" si="0">C9-E9</f>
        <v>0</v>
      </c>
    </row>
    <row r="10" spans="1:24" x14ac:dyDescent="0.25">
      <c r="A10" s="61">
        <f>+A9+1</f>
        <v>2</v>
      </c>
      <c r="B10" s="62" t="s">
        <v>164</v>
      </c>
      <c r="C10" s="49">
        <v>15813.98</v>
      </c>
      <c r="D10" s="49"/>
      <c r="E10" s="49">
        <v>15813.98</v>
      </c>
      <c r="F10" s="49"/>
      <c r="G10" s="51">
        <f t="shared" si="0"/>
        <v>0</v>
      </c>
    </row>
    <row r="11" spans="1:24" x14ac:dyDescent="0.25">
      <c r="A11" s="61">
        <f t="shared" ref="A11:A26" si="1">+A10+1</f>
        <v>3</v>
      </c>
      <c r="B11" s="62" t="s">
        <v>165</v>
      </c>
      <c r="C11" s="49">
        <v>17195.16</v>
      </c>
      <c r="D11" s="49"/>
      <c r="E11" s="49">
        <v>17035.02</v>
      </c>
      <c r="F11" s="49"/>
      <c r="G11" s="51">
        <f t="shared" si="0"/>
        <v>160.13999999999942</v>
      </c>
    </row>
    <row r="12" spans="1:24" x14ac:dyDescent="0.25">
      <c r="A12" s="61">
        <f t="shared" si="1"/>
        <v>4</v>
      </c>
      <c r="B12" s="62" t="s">
        <v>166</v>
      </c>
      <c r="C12" s="49">
        <v>693.17</v>
      </c>
      <c r="D12" s="49"/>
      <c r="E12" s="49">
        <v>689.51</v>
      </c>
      <c r="F12" s="49"/>
      <c r="G12" s="51">
        <f t="shared" si="0"/>
        <v>3.6599999999999682</v>
      </c>
    </row>
    <row r="13" spans="1:24" x14ac:dyDescent="0.25">
      <c r="A13" s="61">
        <f t="shared" si="1"/>
        <v>5</v>
      </c>
      <c r="B13" s="62" t="s">
        <v>167</v>
      </c>
      <c r="C13" s="49">
        <v>38751.480000000003</v>
      </c>
      <c r="D13" s="49"/>
      <c r="E13" s="49">
        <v>37995.9</v>
      </c>
      <c r="F13" s="49"/>
      <c r="G13" s="51">
        <f t="shared" si="0"/>
        <v>755.58000000000175</v>
      </c>
    </row>
    <row r="14" spans="1:24" x14ac:dyDescent="0.25">
      <c r="A14" s="61">
        <f t="shared" si="1"/>
        <v>6</v>
      </c>
      <c r="B14" s="62" t="s">
        <v>168</v>
      </c>
      <c r="C14" s="49">
        <v>50000</v>
      </c>
      <c r="D14" s="49"/>
      <c r="E14" s="49">
        <v>0</v>
      </c>
      <c r="F14" s="49"/>
      <c r="G14" s="51">
        <f t="shared" si="0"/>
        <v>50000</v>
      </c>
    </row>
    <row r="15" spans="1:24" x14ac:dyDescent="0.25">
      <c r="A15" s="61">
        <f t="shared" si="1"/>
        <v>7</v>
      </c>
      <c r="B15" s="62" t="s">
        <v>64</v>
      </c>
      <c r="C15" s="49">
        <v>1488995.94</v>
      </c>
      <c r="D15" s="49"/>
      <c r="E15" s="49">
        <v>1351574.9</v>
      </c>
      <c r="F15" s="49"/>
      <c r="G15" s="51">
        <f t="shared" si="0"/>
        <v>137421.04000000004</v>
      </c>
    </row>
    <row r="16" spans="1:24" x14ac:dyDescent="0.25">
      <c r="A16" s="61">
        <f t="shared" si="1"/>
        <v>8</v>
      </c>
      <c r="B16" s="62" t="s">
        <v>169</v>
      </c>
      <c r="C16" s="49">
        <v>72403.11</v>
      </c>
      <c r="D16" s="49"/>
      <c r="E16" s="49">
        <v>57850.26</v>
      </c>
      <c r="F16" s="49"/>
      <c r="G16" s="51">
        <f t="shared" si="0"/>
        <v>14552.849999999999</v>
      </c>
    </row>
    <row r="17" spans="1:7" x14ac:dyDescent="0.25">
      <c r="A17" s="61">
        <f t="shared" si="1"/>
        <v>9</v>
      </c>
      <c r="B17" s="62" t="s">
        <v>170</v>
      </c>
      <c r="C17" s="49">
        <v>335654.52</v>
      </c>
      <c r="D17" s="49"/>
      <c r="E17" s="49">
        <v>252748.34</v>
      </c>
      <c r="F17" s="49"/>
      <c r="G17" s="51">
        <f t="shared" si="0"/>
        <v>82906.180000000022</v>
      </c>
    </row>
    <row r="18" spans="1:7" x14ac:dyDescent="0.25">
      <c r="A18" s="61">
        <f t="shared" si="1"/>
        <v>10</v>
      </c>
      <c r="B18" s="62" t="s">
        <v>171</v>
      </c>
      <c r="C18" s="49">
        <v>3432.7</v>
      </c>
      <c r="D18" s="49"/>
      <c r="E18" s="49">
        <v>3432.7</v>
      </c>
      <c r="F18" s="49"/>
      <c r="G18" s="51">
        <f t="shared" si="0"/>
        <v>0</v>
      </c>
    </row>
    <row r="19" spans="1:7" x14ac:dyDescent="0.25">
      <c r="A19" s="61">
        <f t="shared" si="1"/>
        <v>11</v>
      </c>
      <c r="B19" s="62" t="s">
        <v>172</v>
      </c>
      <c r="C19" s="49">
        <v>10194.1</v>
      </c>
      <c r="D19" s="49"/>
      <c r="E19" s="49">
        <v>10194.1</v>
      </c>
      <c r="F19" s="49"/>
      <c r="G19" s="51">
        <f t="shared" si="0"/>
        <v>0</v>
      </c>
    </row>
    <row r="20" spans="1:7" x14ac:dyDescent="0.25">
      <c r="A20" s="61">
        <f t="shared" si="1"/>
        <v>12</v>
      </c>
      <c r="B20" s="62" t="s">
        <v>173</v>
      </c>
      <c r="C20" s="49">
        <v>58118.61</v>
      </c>
      <c r="D20" s="49"/>
      <c r="E20" s="49">
        <v>58118.61</v>
      </c>
      <c r="F20" s="49"/>
      <c r="G20" s="51">
        <f t="shared" si="0"/>
        <v>0</v>
      </c>
    </row>
    <row r="21" spans="1:7" x14ac:dyDescent="0.25">
      <c r="A21" s="61">
        <f t="shared" si="1"/>
        <v>13</v>
      </c>
      <c r="B21" s="62" t="s">
        <v>174</v>
      </c>
      <c r="C21" s="49">
        <v>36391.24</v>
      </c>
      <c r="D21" s="49"/>
      <c r="E21" s="49">
        <v>35261.019999999997</v>
      </c>
      <c r="F21" s="49"/>
      <c r="G21" s="51">
        <f t="shared" si="0"/>
        <v>1130.2200000000012</v>
      </c>
    </row>
    <row r="22" spans="1:7" x14ac:dyDescent="0.25">
      <c r="A22" s="61">
        <f t="shared" si="1"/>
        <v>14</v>
      </c>
      <c r="B22" s="62" t="s">
        <v>68</v>
      </c>
      <c r="C22" s="49">
        <v>1105764.25</v>
      </c>
      <c r="D22" s="49"/>
      <c r="E22" s="49">
        <v>938952.69</v>
      </c>
      <c r="F22" s="49"/>
      <c r="G22" s="51">
        <f t="shared" si="0"/>
        <v>166811.56000000006</v>
      </c>
    </row>
    <row r="23" spans="1:7" x14ac:dyDescent="0.25">
      <c r="A23" s="61">
        <f t="shared" si="1"/>
        <v>15</v>
      </c>
      <c r="B23" s="62" t="s">
        <v>175</v>
      </c>
      <c r="C23" s="49">
        <v>178842.89</v>
      </c>
      <c r="D23" s="49"/>
      <c r="E23" s="49">
        <v>141890.26</v>
      </c>
      <c r="F23" s="49"/>
      <c r="G23" s="51">
        <f t="shared" si="0"/>
        <v>36952.630000000005</v>
      </c>
    </row>
    <row r="24" spans="1:7" x14ac:dyDescent="0.25">
      <c r="A24" s="61">
        <f t="shared" si="1"/>
        <v>16</v>
      </c>
      <c r="B24" s="62" t="s">
        <v>176</v>
      </c>
      <c r="C24" s="49">
        <v>19074.28</v>
      </c>
      <c r="D24" s="49"/>
      <c r="E24" s="49">
        <v>17694.57</v>
      </c>
      <c r="F24" s="49"/>
      <c r="G24" s="51">
        <f t="shared" si="0"/>
        <v>1379.7099999999991</v>
      </c>
    </row>
    <row r="25" spans="1:7" x14ac:dyDescent="0.25">
      <c r="A25" s="61">
        <f t="shared" si="1"/>
        <v>17</v>
      </c>
      <c r="B25" s="62" t="s">
        <v>177</v>
      </c>
      <c r="C25" s="52">
        <v>869407</v>
      </c>
      <c r="D25" s="52"/>
      <c r="E25" s="52">
        <v>863901.67</v>
      </c>
      <c r="F25" s="52"/>
      <c r="G25" s="52">
        <f t="shared" si="0"/>
        <v>5505.3299999999581</v>
      </c>
    </row>
    <row r="26" spans="1:7" x14ac:dyDescent="0.25">
      <c r="A26" s="61">
        <f t="shared" si="1"/>
        <v>18</v>
      </c>
      <c r="C26" s="53">
        <f>SUM(C9:C25)</f>
        <v>4388051.6800000006</v>
      </c>
      <c r="D26" s="53"/>
      <c r="E26" s="53">
        <f>SUM(E9:E25)</f>
        <v>3890472.78</v>
      </c>
      <c r="F26" s="53"/>
      <c r="G26" s="53">
        <f>SUM(G9:G25)</f>
        <v>497578.90000000008</v>
      </c>
    </row>
    <row r="28" spans="1:7" x14ac:dyDescent="0.25">
      <c r="B28" s="62" t="s">
        <v>188</v>
      </c>
    </row>
    <row r="29" spans="1:7" x14ac:dyDescent="0.25">
      <c r="B29" s="62" t="s">
        <v>185</v>
      </c>
    </row>
  </sheetData>
  <mergeCells count="3">
    <mergeCell ref="B4:G4"/>
    <mergeCell ref="B5:G5"/>
    <mergeCell ref="B6:G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1183"/>
  <sheetViews>
    <sheetView showGridLines="0" showOutlineSymbols="0" view="pageBreakPreview" topLeftCell="E1" zoomScale="80" zoomScaleNormal="100" zoomScaleSheetLayoutView="80" workbookViewId="0">
      <selection activeCell="X100" sqref="X100"/>
    </sheetView>
  </sheetViews>
  <sheetFormatPr defaultColWidth="6.85546875" defaultRowHeight="12.75" customHeight="1" x14ac:dyDescent="0.25"/>
  <cols>
    <col min="1" max="1" width="1.85546875" style="46" customWidth="1"/>
    <col min="2" max="2" width="8" style="46" customWidth="1"/>
    <col min="3" max="3" width="6" style="46" customWidth="1"/>
    <col min="4" max="4" width="19.28515625" style="93" customWidth="1"/>
    <col min="5" max="5" width="2.28515625" style="46" customWidth="1"/>
    <col min="6" max="6" width="1.28515625" style="46" customWidth="1"/>
    <col min="7" max="7" width="3.85546875" style="46" customWidth="1"/>
    <col min="8" max="8" width="1.85546875" style="46" customWidth="1"/>
    <col min="9" max="9" width="2.85546875" style="46" customWidth="1"/>
    <col min="10" max="10" width="4.85546875" style="46" customWidth="1"/>
    <col min="11" max="11" width="1.140625" style="46" customWidth="1"/>
    <col min="12" max="14" width="11.42578125" style="46" customWidth="1"/>
    <col min="15" max="15" width="1.140625" style="46" customWidth="1"/>
    <col min="16" max="16" width="1.28515625" style="46" customWidth="1"/>
    <col min="17" max="17" width="11.140625" style="46" customWidth="1"/>
    <col min="18" max="19" width="11.42578125" style="46" customWidth="1"/>
    <col min="20" max="20" width="5.85546875" style="46" customWidth="1"/>
    <col min="21" max="21" width="14.28515625" style="139" bestFit="1" customWidth="1"/>
    <col min="22" max="22" width="10.140625" style="139" bestFit="1" customWidth="1"/>
    <col min="23" max="23" width="16.5703125" style="139" bestFit="1" customWidth="1"/>
    <col min="24" max="24" width="10.42578125" style="139" bestFit="1" customWidth="1"/>
    <col min="25" max="16384" width="6.85546875" style="46"/>
  </cols>
  <sheetData>
    <row r="1" spans="1:24" x14ac:dyDescent="0.25">
      <c r="A1" s="97"/>
      <c r="B1" s="97"/>
      <c r="C1" s="97"/>
      <c r="D1" s="97"/>
      <c r="E1" s="97"/>
      <c r="G1" s="95"/>
      <c r="H1" s="95"/>
      <c r="I1" s="95"/>
      <c r="J1" s="95"/>
      <c r="K1" s="95"/>
      <c r="L1" s="95"/>
      <c r="M1" s="95"/>
      <c r="N1" s="95"/>
      <c r="O1" s="95"/>
      <c r="Q1" s="98"/>
      <c r="R1" s="98"/>
      <c r="S1" s="98"/>
      <c r="T1" s="98"/>
    </row>
    <row r="2" spans="1:24" ht="12.75" customHeight="1" x14ac:dyDescent="0.25">
      <c r="A2" s="97"/>
      <c r="B2" s="97"/>
      <c r="C2" s="97"/>
      <c r="D2" s="97"/>
      <c r="E2" s="97"/>
      <c r="G2" s="99"/>
      <c r="H2" s="99"/>
      <c r="I2" s="99"/>
      <c r="J2" s="99"/>
      <c r="K2" s="99"/>
      <c r="L2" s="99"/>
      <c r="M2" s="99"/>
      <c r="N2" s="99"/>
      <c r="O2" s="99"/>
      <c r="Q2" s="100"/>
      <c r="R2" s="100"/>
      <c r="S2" s="100"/>
      <c r="T2" s="100"/>
    </row>
    <row r="3" spans="1:24" ht="12.75" customHeight="1" x14ac:dyDescent="0.25">
      <c r="B3" s="298" t="str">
        <f>+Cover!A1</f>
        <v>South Eastern Indiana Natural Gas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100"/>
    </row>
    <row r="4" spans="1:24" x14ac:dyDescent="0.25">
      <c r="B4" s="298" t="s">
        <v>189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</row>
    <row r="5" spans="1:24" x14ac:dyDescent="0.25">
      <c r="A5" s="97"/>
      <c r="B5" s="299">
        <v>43100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</row>
    <row r="6" spans="1:24" x14ac:dyDescent="0.25">
      <c r="G6" s="97"/>
      <c r="H6" s="97"/>
      <c r="I6" s="97"/>
      <c r="J6" s="97"/>
      <c r="K6" s="97"/>
      <c r="L6" s="97"/>
      <c r="M6" s="97"/>
      <c r="N6" s="97"/>
      <c r="O6" s="97"/>
    </row>
    <row r="7" spans="1:24" ht="5.25" customHeight="1" x14ac:dyDescent="0.25">
      <c r="A7" s="287"/>
      <c r="B7" s="287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</row>
    <row r="8" spans="1:24" ht="9.75" customHeight="1" x14ac:dyDescent="0.25">
      <c r="A8" s="300" t="s">
        <v>190</v>
      </c>
      <c r="B8" s="300"/>
      <c r="C8" s="257" t="s">
        <v>191</v>
      </c>
      <c r="D8" s="96" t="s">
        <v>192</v>
      </c>
      <c r="E8" s="301" t="s">
        <v>193</v>
      </c>
      <c r="F8" s="301"/>
      <c r="G8" s="301"/>
      <c r="H8" s="301"/>
      <c r="I8" s="300" t="s">
        <v>194</v>
      </c>
      <c r="J8" s="300"/>
      <c r="K8" s="300"/>
      <c r="L8" s="257" t="s">
        <v>195</v>
      </c>
      <c r="M8" s="301" t="s">
        <v>196</v>
      </c>
      <c r="N8" s="257" t="s">
        <v>197</v>
      </c>
      <c r="O8" s="301" t="s">
        <v>198</v>
      </c>
      <c r="P8" s="301"/>
      <c r="Q8" s="301"/>
      <c r="R8" s="301" t="s">
        <v>199</v>
      </c>
      <c r="S8" s="301" t="s">
        <v>200</v>
      </c>
    </row>
    <row r="9" spans="1:24" ht="9.75" customHeight="1" x14ac:dyDescent="0.25">
      <c r="E9" s="301"/>
      <c r="F9" s="301"/>
      <c r="G9" s="301"/>
      <c r="H9" s="301"/>
      <c r="M9" s="301"/>
      <c r="O9" s="301"/>
      <c r="P9" s="301"/>
      <c r="Q9" s="301"/>
      <c r="R9" s="301"/>
      <c r="S9" s="301"/>
    </row>
    <row r="10" spans="1:24" ht="12.75" customHeight="1" x14ac:dyDescent="0.25">
      <c r="O10" s="301"/>
      <c r="P10" s="301"/>
      <c r="Q10" s="301"/>
      <c r="R10" s="301"/>
      <c r="S10" s="301"/>
    </row>
    <row r="11" spans="1:24" ht="3" customHeight="1" x14ac:dyDescent="0.25">
      <c r="A11" s="287"/>
      <c r="B11" s="287"/>
      <c r="C11" s="287"/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287"/>
      <c r="O11" s="287"/>
      <c r="P11" s="287"/>
      <c r="Q11" s="287"/>
      <c r="R11" s="287"/>
      <c r="S11" s="287"/>
    </row>
    <row r="12" spans="1:24" ht="8.25" customHeight="1" x14ac:dyDescent="0.25"/>
    <row r="13" spans="1:24" ht="2.25" customHeight="1" x14ac:dyDescent="0.25"/>
    <row r="14" spans="1:24" ht="14.25" customHeight="1" x14ac:dyDescent="0.25">
      <c r="A14" s="283" t="s">
        <v>163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140" t="s">
        <v>201</v>
      </c>
      <c r="V14" s="141">
        <v>43100</v>
      </c>
      <c r="W14" s="140" t="s">
        <v>202</v>
      </c>
      <c r="X14" s="140" t="s">
        <v>203</v>
      </c>
    </row>
    <row r="15" spans="1:24" ht="2.25" customHeight="1" x14ac:dyDescent="0.25">
      <c r="W15" s="142"/>
    </row>
    <row r="16" spans="1:24" ht="0.75" customHeight="1" x14ac:dyDescent="0.25"/>
    <row r="17" spans="1:24" s="93" customFormat="1" x14ac:dyDescent="0.25">
      <c r="A17" s="294">
        <v>710</v>
      </c>
      <c r="B17" s="294"/>
      <c r="D17" s="258" t="s">
        <v>204</v>
      </c>
      <c r="E17" s="295">
        <v>39082</v>
      </c>
      <c r="F17" s="295"/>
      <c r="G17" s="295"/>
      <c r="H17" s="295"/>
      <c r="I17" s="296" t="s">
        <v>205</v>
      </c>
      <c r="J17" s="296"/>
      <c r="K17" s="296"/>
      <c r="L17" s="94">
        <v>5</v>
      </c>
      <c r="M17" s="259">
        <v>27224.71</v>
      </c>
      <c r="N17" s="94">
        <v>100</v>
      </c>
      <c r="O17" s="297">
        <v>27224.71</v>
      </c>
      <c r="P17" s="297"/>
      <c r="Q17" s="297"/>
      <c r="R17" s="259">
        <v>0</v>
      </c>
      <c r="S17" s="259">
        <v>27224.71</v>
      </c>
      <c r="U17" s="143">
        <f>E17+(L17*365)</f>
        <v>40907</v>
      </c>
      <c r="V17" s="144">
        <f>YEARFRAC(E17,$V$14)</f>
        <v>11</v>
      </c>
      <c r="W17" s="145">
        <f>IF(V17&gt;L17,0,L17-V17)</f>
        <v>0</v>
      </c>
      <c r="X17" s="144">
        <f>IF(W17=0,0,W17)</f>
        <v>0</v>
      </c>
    </row>
    <row r="18" spans="1:24" s="93" customFormat="1" x14ac:dyDescent="0.25">
      <c r="A18" s="294">
        <v>799</v>
      </c>
      <c r="B18" s="294"/>
      <c r="D18" s="258" t="s">
        <v>206</v>
      </c>
      <c r="E18" s="295">
        <v>39995</v>
      </c>
      <c r="F18" s="295"/>
      <c r="G18" s="295"/>
      <c r="H18" s="295"/>
      <c r="I18" s="296" t="s">
        <v>205</v>
      </c>
      <c r="J18" s="296"/>
      <c r="K18" s="296"/>
      <c r="L18" s="94">
        <v>5</v>
      </c>
      <c r="M18" s="259">
        <v>60094.54</v>
      </c>
      <c r="N18" s="94">
        <v>100</v>
      </c>
      <c r="O18" s="297">
        <v>60094.54</v>
      </c>
      <c r="P18" s="297"/>
      <c r="Q18" s="297"/>
      <c r="R18" s="259">
        <v>0</v>
      </c>
      <c r="S18" s="259">
        <v>60094.54</v>
      </c>
      <c r="U18" s="143">
        <f>E18+(L18*365)</f>
        <v>41820</v>
      </c>
      <c r="V18" s="144">
        <f>YEARFRAC(E18,$V$14)</f>
        <v>8.5</v>
      </c>
      <c r="W18" s="144">
        <f>IF(V18&gt;L18,0,L18-V18)</f>
        <v>0</v>
      </c>
      <c r="X18" s="144">
        <f>IF(W18=0,0,W18)</f>
        <v>0</v>
      </c>
    </row>
    <row r="19" spans="1:24" ht="2.25" customHeight="1" x14ac:dyDescent="0.25">
      <c r="X19" s="146"/>
    </row>
    <row r="20" spans="1:24" ht="12" customHeight="1" x14ac:dyDescent="0.25">
      <c r="A20" s="283" t="s">
        <v>207</v>
      </c>
      <c r="B20" s="283"/>
      <c r="C20" s="283"/>
      <c r="D20" s="283"/>
      <c r="E20" s="283"/>
      <c r="F20" s="283"/>
      <c r="G20" s="283"/>
      <c r="M20" s="260">
        <v>87319.25</v>
      </c>
      <c r="O20" s="284">
        <v>87319.25</v>
      </c>
      <c r="P20" s="284"/>
      <c r="Q20" s="284"/>
      <c r="R20" s="260">
        <v>0</v>
      </c>
      <c r="S20" s="260">
        <v>87319.25</v>
      </c>
      <c r="U20" s="281" t="s">
        <v>208</v>
      </c>
      <c r="V20" s="282"/>
      <c r="W20" s="147">
        <f>AVERAGE(W17:W18)</f>
        <v>0</v>
      </c>
      <c r="X20" s="147">
        <f>AVERAGE(X17:X18)</f>
        <v>0</v>
      </c>
    </row>
    <row r="21" spans="1:24" ht="14.25" customHeight="1" x14ac:dyDescent="0.25">
      <c r="B21" s="283" t="s">
        <v>209</v>
      </c>
      <c r="C21" s="283"/>
      <c r="D21" s="283"/>
      <c r="E21" s="283"/>
      <c r="F21" s="283"/>
      <c r="G21" s="283"/>
      <c r="H21" s="283"/>
      <c r="M21" s="261">
        <v>0</v>
      </c>
      <c r="O21" s="285">
        <v>0</v>
      </c>
      <c r="P21" s="285"/>
      <c r="Q21" s="285"/>
      <c r="R21" s="261">
        <v>0</v>
      </c>
      <c r="S21" s="261">
        <v>0</v>
      </c>
      <c r="X21" s="146"/>
    </row>
    <row r="22" spans="1:24" ht="9.75" customHeight="1" thickBot="1" x14ac:dyDescent="0.3">
      <c r="A22" s="283" t="s">
        <v>210</v>
      </c>
      <c r="B22" s="283"/>
      <c r="C22" s="283"/>
      <c r="D22" s="283"/>
      <c r="E22" s="283"/>
      <c r="F22" s="283"/>
      <c r="G22" s="283"/>
      <c r="M22" s="286">
        <v>87319.25</v>
      </c>
      <c r="O22" s="286">
        <v>87319.25</v>
      </c>
      <c r="P22" s="286"/>
      <c r="Q22" s="286"/>
      <c r="R22" s="286">
        <v>0</v>
      </c>
      <c r="S22" s="286">
        <v>87319.25</v>
      </c>
      <c r="X22" s="146"/>
    </row>
    <row r="23" spans="1:24" ht="6" customHeight="1" thickTop="1" thickBot="1" x14ac:dyDescent="0.3">
      <c r="M23" s="286"/>
      <c r="O23" s="286"/>
      <c r="P23" s="286"/>
      <c r="Q23" s="286"/>
      <c r="R23" s="286"/>
      <c r="S23" s="286"/>
      <c r="X23" s="146"/>
    </row>
    <row r="24" spans="1:24" ht="2.25" customHeight="1" thickTop="1" x14ac:dyDescent="0.25">
      <c r="X24" s="146"/>
    </row>
    <row r="25" spans="1:24" ht="14.25" customHeight="1" x14ac:dyDescent="0.25">
      <c r="A25" s="283" t="s">
        <v>164</v>
      </c>
      <c r="B25" s="283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140" t="s">
        <v>201</v>
      </c>
      <c r="V25" s="141">
        <v>43100</v>
      </c>
      <c r="W25" s="140" t="s">
        <v>202</v>
      </c>
      <c r="X25" s="148" t="s">
        <v>203</v>
      </c>
    </row>
    <row r="26" spans="1:24" ht="2.25" customHeight="1" x14ac:dyDescent="0.25">
      <c r="W26" s="142"/>
      <c r="X26" s="146"/>
    </row>
    <row r="27" spans="1:24" ht="0.75" customHeight="1" x14ac:dyDescent="0.25">
      <c r="X27" s="146"/>
    </row>
    <row r="28" spans="1:24" ht="9.75" customHeight="1" x14ac:dyDescent="0.25">
      <c r="A28" s="288">
        <v>14</v>
      </c>
      <c r="B28" s="288"/>
      <c r="D28" s="258" t="s">
        <v>211</v>
      </c>
      <c r="E28" s="289">
        <v>35885</v>
      </c>
      <c r="F28" s="289"/>
      <c r="G28" s="289"/>
      <c r="H28" s="289"/>
      <c r="I28" s="290" t="s">
        <v>205</v>
      </c>
      <c r="J28" s="290"/>
      <c r="K28" s="290"/>
      <c r="L28" s="47">
        <v>10</v>
      </c>
      <c r="M28" s="262">
        <v>847</v>
      </c>
      <c r="N28" s="47">
        <v>100</v>
      </c>
      <c r="O28" s="291">
        <v>847</v>
      </c>
      <c r="P28" s="291"/>
      <c r="Q28" s="291"/>
      <c r="R28" s="262">
        <v>0</v>
      </c>
      <c r="S28" s="262">
        <v>847</v>
      </c>
      <c r="U28" s="149">
        <f>E28+(L28*365)</f>
        <v>39535</v>
      </c>
      <c r="V28" s="146">
        <f>YEARFRAC(E28,$V$14)</f>
        <v>19.75</v>
      </c>
      <c r="W28" s="150">
        <f>IF(V28&gt;L28,0,L28-V28)</f>
        <v>0</v>
      </c>
      <c r="X28" s="146">
        <f>IF(W28=0,0,W28)</f>
        <v>0</v>
      </c>
    </row>
    <row r="29" spans="1:24" ht="9.75" customHeight="1" x14ac:dyDescent="0.25">
      <c r="A29" s="288">
        <v>711</v>
      </c>
      <c r="B29" s="288"/>
      <c r="D29" s="258" t="s">
        <v>212</v>
      </c>
      <c r="E29" s="289">
        <v>38898</v>
      </c>
      <c r="F29" s="289"/>
      <c r="G29" s="289"/>
      <c r="H29" s="289"/>
      <c r="I29" s="290" t="s">
        <v>205</v>
      </c>
      <c r="J29" s="290"/>
      <c r="K29" s="290"/>
      <c r="L29" s="47">
        <v>10</v>
      </c>
      <c r="M29" s="262">
        <v>9833.34</v>
      </c>
      <c r="N29" s="47">
        <v>100</v>
      </c>
      <c r="O29" s="291">
        <v>9833.34</v>
      </c>
      <c r="P29" s="291"/>
      <c r="Q29" s="291"/>
      <c r="R29" s="262">
        <v>0</v>
      </c>
      <c r="S29" s="262">
        <v>9833.34</v>
      </c>
      <c r="U29" s="149">
        <f>E29+(L29*365)</f>
        <v>42548</v>
      </c>
      <c r="V29" s="146">
        <f>YEARFRAC(E29,$V$14)</f>
        <v>11.5</v>
      </c>
      <c r="W29" s="150">
        <f>IF(V29&gt;L29,0,L29-V29)</f>
        <v>0</v>
      </c>
      <c r="X29" s="146">
        <f>IF(W29=0,0,W29)</f>
        <v>0</v>
      </c>
    </row>
    <row r="30" spans="1:24" ht="9.75" customHeight="1" x14ac:dyDescent="0.25">
      <c r="A30" s="288">
        <v>712</v>
      </c>
      <c r="B30" s="288"/>
      <c r="D30" s="258" t="s">
        <v>213</v>
      </c>
      <c r="E30" s="289">
        <v>38898</v>
      </c>
      <c r="F30" s="289"/>
      <c r="G30" s="289"/>
      <c r="H30" s="289"/>
      <c r="I30" s="290" t="s">
        <v>205</v>
      </c>
      <c r="J30" s="290"/>
      <c r="K30" s="290"/>
      <c r="L30" s="47">
        <v>10</v>
      </c>
      <c r="M30" s="262">
        <v>5133.6400000000003</v>
      </c>
      <c r="N30" s="47">
        <v>100</v>
      </c>
      <c r="O30" s="291">
        <v>5133.6400000000003</v>
      </c>
      <c r="P30" s="291"/>
      <c r="Q30" s="291"/>
      <c r="R30" s="262">
        <v>0</v>
      </c>
      <c r="S30" s="262">
        <v>5133.6400000000003</v>
      </c>
      <c r="U30" s="149">
        <f>E30+(L30*365)</f>
        <v>42548</v>
      </c>
      <c r="V30" s="146">
        <f>YEARFRAC(E30,$V$14)</f>
        <v>11.5</v>
      </c>
      <c r="W30" s="150">
        <f>IF(V30&gt;L30,0,L30-V30)</f>
        <v>0</v>
      </c>
      <c r="X30" s="146">
        <f>IF(W30=0,0,W30)</f>
        <v>0</v>
      </c>
    </row>
    <row r="31" spans="1:24" ht="2.25" customHeight="1" x14ac:dyDescent="0.25">
      <c r="X31" s="146"/>
    </row>
    <row r="32" spans="1:24" ht="12" customHeight="1" x14ac:dyDescent="0.25">
      <c r="A32" s="283" t="s">
        <v>214</v>
      </c>
      <c r="B32" s="283"/>
      <c r="C32" s="283"/>
      <c r="D32" s="283"/>
      <c r="E32" s="283"/>
      <c r="F32" s="283"/>
      <c r="G32" s="283"/>
      <c r="M32" s="260">
        <v>15813.98</v>
      </c>
      <c r="O32" s="284">
        <v>15813.98</v>
      </c>
      <c r="P32" s="284"/>
      <c r="Q32" s="284"/>
      <c r="R32" s="260">
        <v>0</v>
      </c>
      <c r="S32" s="260">
        <v>15813.98</v>
      </c>
      <c r="U32" s="281" t="s">
        <v>208</v>
      </c>
      <c r="V32" s="282"/>
      <c r="W32" s="147">
        <f>AVERAGE(W28:W30)</f>
        <v>0</v>
      </c>
      <c r="X32" s="147">
        <f>AVERAGE(X28:X30)</f>
        <v>0</v>
      </c>
    </row>
    <row r="33" spans="1:24" ht="14.25" customHeight="1" x14ac:dyDescent="0.25">
      <c r="B33" s="283" t="s">
        <v>209</v>
      </c>
      <c r="C33" s="283"/>
      <c r="D33" s="283"/>
      <c r="E33" s="283"/>
      <c r="F33" s="283"/>
      <c r="G33" s="283"/>
      <c r="H33" s="283"/>
      <c r="M33" s="261">
        <v>0</v>
      </c>
      <c r="O33" s="285">
        <v>0</v>
      </c>
      <c r="P33" s="285"/>
      <c r="Q33" s="285"/>
      <c r="R33" s="261">
        <v>0</v>
      </c>
      <c r="S33" s="261">
        <v>0</v>
      </c>
      <c r="X33" s="146"/>
    </row>
    <row r="34" spans="1:24" ht="9.75" customHeight="1" thickBot="1" x14ac:dyDescent="0.3">
      <c r="A34" s="283" t="s">
        <v>215</v>
      </c>
      <c r="B34" s="283"/>
      <c r="C34" s="283"/>
      <c r="D34" s="283"/>
      <c r="E34" s="283"/>
      <c r="F34" s="283"/>
      <c r="G34" s="283"/>
      <c r="M34" s="286">
        <v>15813.98</v>
      </c>
      <c r="O34" s="286">
        <v>15813.98</v>
      </c>
      <c r="P34" s="286"/>
      <c r="Q34" s="286"/>
      <c r="R34" s="286">
        <v>0</v>
      </c>
      <c r="S34" s="286">
        <v>15813.98</v>
      </c>
      <c r="X34" s="146"/>
    </row>
    <row r="35" spans="1:24" ht="6" customHeight="1" thickTop="1" thickBot="1" x14ac:dyDescent="0.3">
      <c r="M35" s="286"/>
      <c r="O35" s="286"/>
      <c r="P35" s="286"/>
      <c r="Q35" s="286"/>
      <c r="R35" s="286"/>
      <c r="S35" s="286"/>
      <c r="X35" s="146"/>
    </row>
    <row r="36" spans="1:24" ht="2.25" customHeight="1" thickTop="1" x14ac:dyDescent="0.25">
      <c r="X36" s="146"/>
    </row>
    <row r="37" spans="1:24" ht="14.25" customHeight="1" x14ac:dyDescent="0.25">
      <c r="A37" s="283" t="s">
        <v>165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3"/>
      <c r="L37" s="283"/>
      <c r="M37" s="283"/>
      <c r="N37" s="283"/>
      <c r="O37" s="283"/>
      <c r="P37" s="283"/>
      <c r="Q37" s="283"/>
      <c r="R37" s="283"/>
      <c r="S37" s="283"/>
      <c r="T37" s="283"/>
      <c r="U37" s="140" t="s">
        <v>201</v>
      </c>
      <c r="V37" s="141">
        <v>43100</v>
      </c>
      <c r="W37" s="140" t="s">
        <v>202</v>
      </c>
      <c r="X37" s="148" t="s">
        <v>203</v>
      </c>
    </row>
    <row r="38" spans="1:24" ht="2.25" customHeight="1" x14ac:dyDescent="0.25">
      <c r="W38" s="142"/>
      <c r="X38" s="146"/>
    </row>
    <row r="39" spans="1:24" ht="0.75" customHeight="1" x14ac:dyDescent="0.25">
      <c r="X39" s="146"/>
    </row>
    <row r="40" spans="1:24" ht="9.75" customHeight="1" x14ac:dyDescent="0.25">
      <c r="A40" s="288">
        <v>20</v>
      </c>
      <c r="B40" s="288"/>
      <c r="D40" s="258" t="s">
        <v>216</v>
      </c>
      <c r="E40" s="289">
        <v>35885</v>
      </c>
      <c r="F40" s="289"/>
      <c r="G40" s="289"/>
      <c r="H40" s="289"/>
      <c r="I40" s="290" t="s">
        <v>205</v>
      </c>
      <c r="J40" s="290"/>
      <c r="K40" s="290"/>
      <c r="L40" s="47">
        <v>5</v>
      </c>
      <c r="M40" s="262">
        <v>409</v>
      </c>
      <c r="N40" s="47">
        <v>100</v>
      </c>
      <c r="O40" s="291">
        <v>402.18</v>
      </c>
      <c r="P40" s="291"/>
      <c r="Q40" s="291"/>
      <c r="R40" s="262">
        <v>0</v>
      </c>
      <c r="S40" s="262">
        <v>402.18</v>
      </c>
      <c r="U40" s="149">
        <f t="shared" ref="U40:U55" si="0">E40+(L40*365)</f>
        <v>37710</v>
      </c>
      <c r="V40" s="146">
        <f t="shared" ref="V40:V55" si="1">YEARFRAC(E40,$V$14)</f>
        <v>19.75</v>
      </c>
      <c r="W40" s="150">
        <f t="shared" ref="W40:W55" si="2">IF(V40&gt;L40,0,L40-V40)</f>
        <v>0</v>
      </c>
      <c r="X40" s="146"/>
    </row>
    <row r="41" spans="1:24" ht="9.75" customHeight="1" x14ac:dyDescent="0.25">
      <c r="A41" s="288">
        <v>43</v>
      </c>
      <c r="B41" s="288"/>
      <c r="D41" s="258" t="s">
        <v>217</v>
      </c>
      <c r="E41" s="289">
        <v>39455</v>
      </c>
      <c r="F41" s="289"/>
      <c r="G41" s="289"/>
      <c r="H41" s="289"/>
      <c r="I41" s="290" t="s">
        <v>205</v>
      </c>
      <c r="J41" s="290"/>
      <c r="K41" s="290"/>
      <c r="L41" s="47">
        <v>5</v>
      </c>
      <c r="M41" s="262">
        <v>429.98</v>
      </c>
      <c r="N41" s="47">
        <v>100</v>
      </c>
      <c r="O41" s="291">
        <v>429.98</v>
      </c>
      <c r="P41" s="291"/>
      <c r="Q41" s="291"/>
      <c r="R41" s="262">
        <v>0</v>
      </c>
      <c r="S41" s="262">
        <v>429.98</v>
      </c>
      <c r="U41" s="149">
        <f t="shared" si="0"/>
        <v>41280</v>
      </c>
      <c r="V41" s="146">
        <f t="shared" si="1"/>
        <v>9.9805555555555561</v>
      </c>
      <c r="W41" s="150">
        <f t="shared" si="2"/>
        <v>0</v>
      </c>
      <c r="X41" s="146"/>
    </row>
    <row r="42" spans="1:24" ht="9.75" customHeight="1" x14ac:dyDescent="0.25">
      <c r="A42" s="288">
        <v>51</v>
      </c>
      <c r="B42" s="288"/>
      <c r="D42" s="258" t="s">
        <v>218</v>
      </c>
      <c r="E42" s="289">
        <v>39496</v>
      </c>
      <c r="F42" s="289"/>
      <c r="G42" s="289"/>
      <c r="H42" s="289"/>
      <c r="I42" s="290" t="s">
        <v>205</v>
      </c>
      <c r="J42" s="290"/>
      <c r="K42" s="290"/>
      <c r="L42" s="47">
        <v>5</v>
      </c>
      <c r="M42" s="262">
        <v>1293.6400000000001</v>
      </c>
      <c r="N42" s="47">
        <v>100</v>
      </c>
      <c r="O42" s="291">
        <v>1293.6400000000001</v>
      </c>
      <c r="P42" s="291"/>
      <c r="Q42" s="291"/>
      <c r="R42" s="262">
        <v>0</v>
      </c>
      <c r="S42" s="262">
        <v>1293.6400000000001</v>
      </c>
      <c r="U42" s="149">
        <f t="shared" si="0"/>
        <v>41321</v>
      </c>
      <c r="V42" s="146">
        <f t="shared" si="1"/>
        <v>9.8694444444444436</v>
      </c>
      <c r="W42" s="150">
        <f t="shared" si="2"/>
        <v>0</v>
      </c>
      <c r="X42" s="146"/>
    </row>
    <row r="43" spans="1:24" ht="9.75" customHeight="1" x14ac:dyDescent="0.25">
      <c r="A43" s="288">
        <v>58</v>
      </c>
      <c r="B43" s="288"/>
      <c r="D43" s="258" t="s">
        <v>219</v>
      </c>
      <c r="E43" s="289">
        <v>39512</v>
      </c>
      <c r="F43" s="289"/>
      <c r="G43" s="289"/>
      <c r="H43" s="289"/>
      <c r="I43" s="290" t="s">
        <v>205</v>
      </c>
      <c r="J43" s="290"/>
      <c r="K43" s="290"/>
      <c r="L43" s="47">
        <v>5</v>
      </c>
      <c r="M43" s="262">
        <v>823.75</v>
      </c>
      <c r="N43" s="47">
        <v>100</v>
      </c>
      <c r="O43" s="291">
        <v>823.75</v>
      </c>
      <c r="P43" s="291"/>
      <c r="Q43" s="291"/>
      <c r="R43" s="262">
        <v>0</v>
      </c>
      <c r="S43" s="262">
        <v>823.75</v>
      </c>
      <c r="U43" s="149">
        <f t="shared" si="0"/>
        <v>41337</v>
      </c>
      <c r="V43" s="146">
        <f t="shared" si="1"/>
        <v>9.8222222222222229</v>
      </c>
      <c r="W43" s="150">
        <f t="shared" si="2"/>
        <v>0</v>
      </c>
      <c r="X43" s="146"/>
    </row>
    <row r="44" spans="1:24" ht="9.75" customHeight="1" x14ac:dyDescent="0.25">
      <c r="A44" s="288">
        <v>59</v>
      </c>
      <c r="B44" s="288"/>
      <c r="D44" s="258" t="s">
        <v>217</v>
      </c>
      <c r="E44" s="289">
        <v>39512</v>
      </c>
      <c r="F44" s="289"/>
      <c r="G44" s="289"/>
      <c r="H44" s="289"/>
      <c r="I44" s="290" t="s">
        <v>205</v>
      </c>
      <c r="J44" s="290"/>
      <c r="K44" s="290"/>
      <c r="L44" s="47">
        <v>5</v>
      </c>
      <c r="M44" s="262">
        <v>576.70000000000005</v>
      </c>
      <c r="N44" s="47">
        <v>100</v>
      </c>
      <c r="O44" s="291">
        <v>576.70000000000005</v>
      </c>
      <c r="P44" s="291"/>
      <c r="Q44" s="291"/>
      <c r="R44" s="262">
        <v>0</v>
      </c>
      <c r="S44" s="262">
        <v>576.70000000000005</v>
      </c>
      <c r="U44" s="149">
        <f t="shared" si="0"/>
        <v>41337</v>
      </c>
      <c r="V44" s="146">
        <f t="shared" si="1"/>
        <v>9.8222222222222229</v>
      </c>
      <c r="W44" s="150">
        <f t="shared" si="2"/>
        <v>0</v>
      </c>
      <c r="X44" s="146"/>
    </row>
    <row r="45" spans="1:24" ht="9.75" customHeight="1" x14ac:dyDescent="0.25">
      <c r="A45" s="288">
        <v>738</v>
      </c>
      <c r="B45" s="288"/>
      <c r="D45" s="258" t="s">
        <v>220</v>
      </c>
      <c r="E45" s="289">
        <v>39266</v>
      </c>
      <c r="F45" s="289"/>
      <c r="G45" s="289"/>
      <c r="H45" s="289"/>
      <c r="I45" s="290" t="s">
        <v>205</v>
      </c>
      <c r="J45" s="290"/>
      <c r="K45" s="290"/>
      <c r="L45" s="47">
        <v>5</v>
      </c>
      <c r="M45" s="262">
        <v>302.97000000000003</v>
      </c>
      <c r="N45" s="47">
        <v>100</v>
      </c>
      <c r="O45" s="291">
        <v>302.97000000000003</v>
      </c>
      <c r="P45" s="291"/>
      <c r="Q45" s="291"/>
      <c r="R45" s="262">
        <v>0</v>
      </c>
      <c r="S45" s="262">
        <v>302.97000000000003</v>
      </c>
      <c r="U45" s="149">
        <f t="shared" si="0"/>
        <v>41091</v>
      </c>
      <c r="V45" s="146">
        <f t="shared" si="1"/>
        <v>10.494444444444444</v>
      </c>
      <c r="W45" s="150">
        <f t="shared" si="2"/>
        <v>0</v>
      </c>
      <c r="X45" s="146"/>
    </row>
    <row r="46" spans="1:24" ht="9.75" customHeight="1" x14ac:dyDescent="0.25">
      <c r="A46" s="288">
        <v>750</v>
      </c>
      <c r="B46" s="288"/>
      <c r="D46" s="258" t="s">
        <v>221</v>
      </c>
      <c r="E46" s="289">
        <v>39378</v>
      </c>
      <c r="F46" s="289"/>
      <c r="G46" s="289"/>
      <c r="H46" s="289"/>
      <c r="I46" s="290" t="s">
        <v>205</v>
      </c>
      <c r="J46" s="290"/>
      <c r="K46" s="290"/>
      <c r="L46" s="47">
        <v>5</v>
      </c>
      <c r="M46" s="262">
        <v>1861.15</v>
      </c>
      <c r="N46" s="47">
        <v>100</v>
      </c>
      <c r="O46" s="291">
        <v>1861.15</v>
      </c>
      <c r="P46" s="291"/>
      <c r="Q46" s="291"/>
      <c r="R46" s="262">
        <v>0</v>
      </c>
      <c r="S46" s="262">
        <v>1861.15</v>
      </c>
      <c r="U46" s="149">
        <f t="shared" si="0"/>
        <v>41203</v>
      </c>
      <c r="V46" s="146">
        <f t="shared" si="1"/>
        <v>10.188888888888888</v>
      </c>
      <c r="W46" s="150">
        <f t="shared" si="2"/>
        <v>0</v>
      </c>
      <c r="X46" s="146"/>
    </row>
    <row r="47" spans="1:24" ht="9.75" customHeight="1" x14ac:dyDescent="0.25">
      <c r="A47" s="288">
        <v>756</v>
      </c>
      <c r="B47" s="288"/>
      <c r="D47" s="258" t="s">
        <v>222</v>
      </c>
      <c r="E47" s="289">
        <v>39414</v>
      </c>
      <c r="F47" s="289"/>
      <c r="G47" s="289"/>
      <c r="H47" s="289"/>
      <c r="I47" s="290" t="s">
        <v>205</v>
      </c>
      <c r="J47" s="290"/>
      <c r="K47" s="290"/>
      <c r="L47" s="47">
        <v>5</v>
      </c>
      <c r="M47" s="262">
        <v>3794.26</v>
      </c>
      <c r="N47" s="47">
        <v>100</v>
      </c>
      <c r="O47" s="291">
        <v>3794.26</v>
      </c>
      <c r="P47" s="291"/>
      <c r="Q47" s="291"/>
      <c r="R47" s="262">
        <v>0</v>
      </c>
      <c r="S47" s="262">
        <v>3794.26</v>
      </c>
      <c r="U47" s="149">
        <f t="shared" si="0"/>
        <v>41239</v>
      </c>
      <c r="V47" s="146">
        <f t="shared" si="1"/>
        <v>10.091666666666667</v>
      </c>
      <c r="W47" s="150">
        <f t="shared" si="2"/>
        <v>0</v>
      </c>
      <c r="X47" s="146"/>
    </row>
    <row r="48" spans="1:24" ht="9.75" customHeight="1" x14ac:dyDescent="0.25">
      <c r="A48" s="288">
        <v>852</v>
      </c>
      <c r="B48" s="288"/>
      <c r="D48" s="258" t="s">
        <v>223</v>
      </c>
      <c r="E48" s="289">
        <v>40456</v>
      </c>
      <c r="F48" s="289"/>
      <c r="G48" s="289"/>
      <c r="H48" s="289"/>
      <c r="I48" s="290" t="s">
        <v>205</v>
      </c>
      <c r="J48" s="290"/>
      <c r="K48" s="290"/>
      <c r="L48" s="47">
        <v>5</v>
      </c>
      <c r="M48" s="262">
        <v>1284.96</v>
      </c>
      <c r="N48" s="47">
        <v>100</v>
      </c>
      <c r="O48" s="291">
        <v>1284.96</v>
      </c>
      <c r="P48" s="291"/>
      <c r="Q48" s="291"/>
      <c r="R48" s="262">
        <v>0</v>
      </c>
      <c r="S48" s="262">
        <v>1284.96</v>
      </c>
      <c r="U48" s="149">
        <f t="shared" si="0"/>
        <v>42281</v>
      </c>
      <c r="V48" s="146">
        <f t="shared" si="1"/>
        <v>7.2388888888888889</v>
      </c>
      <c r="W48" s="150">
        <f t="shared" si="2"/>
        <v>0</v>
      </c>
      <c r="X48" s="146"/>
    </row>
    <row r="49" spans="1:24" ht="9.75" customHeight="1" x14ac:dyDescent="0.25">
      <c r="A49" s="288">
        <v>866</v>
      </c>
      <c r="B49" s="288"/>
      <c r="D49" s="258" t="s">
        <v>224</v>
      </c>
      <c r="E49" s="289">
        <v>40494</v>
      </c>
      <c r="F49" s="289"/>
      <c r="G49" s="289"/>
      <c r="H49" s="289"/>
      <c r="I49" s="290" t="s">
        <v>205</v>
      </c>
      <c r="J49" s="290"/>
      <c r="K49" s="290"/>
      <c r="L49" s="47">
        <v>5</v>
      </c>
      <c r="M49" s="262">
        <v>1941.89</v>
      </c>
      <c r="N49" s="47">
        <v>100</v>
      </c>
      <c r="O49" s="291">
        <v>1941.89</v>
      </c>
      <c r="P49" s="291"/>
      <c r="Q49" s="291"/>
      <c r="R49" s="262">
        <v>0</v>
      </c>
      <c r="S49" s="262">
        <v>1941.89</v>
      </c>
      <c r="U49" s="149">
        <f t="shared" si="0"/>
        <v>42319</v>
      </c>
      <c r="V49" s="146">
        <f t="shared" si="1"/>
        <v>7.1361111111111111</v>
      </c>
      <c r="W49" s="150">
        <f t="shared" si="2"/>
        <v>0</v>
      </c>
      <c r="X49" s="146"/>
    </row>
    <row r="50" spans="1:24" ht="9.75" customHeight="1" x14ac:dyDescent="0.25">
      <c r="A50" s="288">
        <v>897</v>
      </c>
      <c r="B50" s="288"/>
      <c r="D50" s="258" t="s">
        <v>224</v>
      </c>
      <c r="E50" s="289">
        <v>40660</v>
      </c>
      <c r="F50" s="289"/>
      <c r="G50" s="289"/>
      <c r="H50" s="289"/>
      <c r="I50" s="290" t="s">
        <v>205</v>
      </c>
      <c r="J50" s="290"/>
      <c r="K50" s="290"/>
      <c r="L50" s="47">
        <v>5</v>
      </c>
      <c r="M50" s="262">
        <v>1415.04</v>
      </c>
      <c r="N50" s="47">
        <v>100</v>
      </c>
      <c r="O50" s="291">
        <v>1415.04</v>
      </c>
      <c r="P50" s="291"/>
      <c r="Q50" s="291"/>
      <c r="R50" s="262">
        <v>0</v>
      </c>
      <c r="S50" s="262">
        <v>1415.04</v>
      </c>
      <c r="U50" s="149">
        <f t="shared" si="0"/>
        <v>42485</v>
      </c>
      <c r="V50" s="146">
        <f t="shared" si="1"/>
        <v>6.677777777777778</v>
      </c>
      <c r="W50" s="150">
        <f t="shared" si="2"/>
        <v>0</v>
      </c>
      <c r="X50" s="146"/>
    </row>
    <row r="51" spans="1:24" ht="9.75" customHeight="1" x14ac:dyDescent="0.25">
      <c r="A51" s="288">
        <v>898</v>
      </c>
      <c r="B51" s="288"/>
      <c r="D51" s="258" t="s">
        <v>224</v>
      </c>
      <c r="E51" s="289">
        <v>40666</v>
      </c>
      <c r="F51" s="289"/>
      <c r="G51" s="289"/>
      <c r="H51" s="289"/>
      <c r="I51" s="290" t="s">
        <v>205</v>
      </c>
      <c r="J51" s="290"/>
      <c r="K51" s="290"/>
      <c r="L51" s="47">
        <v>5</v>
      </c>
      <c r="M51" s="262">
        <v>1551.52</v>
      </c>
      <c r="N51" s="47">
        <v>100</v>
      </c>
      <c r="O51" s="291">
        <v>1551.52</v>
      </c>
      <c r="P51" s="291"/>
      <c r="Q51" s="291"/>
      <c r="R51" s="262">
        <v>0</v>
      </c>
      <c r="S51" s="262">
        <v>1551.52</v>
      </c>
      <c r="U51" s="149">
        <f t="shared" si="0"/>
        <v>42491</v>
      </c>
      <c r="V51" s="146">
        <f t="shared" si="1"/>
        <v>6.6611111111111114</v>
      </c>
      <c r="W51" s="150">
        <f t="shared" si="2"/>
        <v>0</v>
      </c>
      <c r="X51" s="146"/>
    </row>
    <row r="52" spans="1:24" ht="9.75" customHeight="1" x14ac:dyDescent="0.25">
      <c r="A52" s="288">
        <v>905</v>
      </c>
      <c r="B52" s="288"/>
      <c r="D52" s="258" t="s">
        <v>224</v>
      </c>
      <c r="E52" s="289">
        <v>40696</v>
      </c>
      <c r="F52" s="289"/>
      <c r="G52" s="289"/>
      <c r="H52" s="289"/>
      <c r="I52" s="290" t="s">
        <v>205</v>
      </c>
      <c r="J52" s="290"/>
      <c r="K52" s="290"/>
      <c r="L52" s="47">
        <v>5</v>
      </c>
      <c r="M52" s="262">
        <v>481</v>
      </c>
      <c r="N52" s="47">
        <v>100</v>
      </c>
      <c r="O52" s="291">
        <v>481</v>
      </c>
      <c r="P52" s="291"/>
      <c r="Q52" s="291"/>
      <c r="R52" s="262">
        <v>0</v>
      </c>
      <c r="S52" s="262">
        <v>481</v>
      </c>
      <c r="U52" s="149">
        <f t="shared" si="0"/>
        <v>42521</v>
      </c>
      <c r="V52" s="146">
        <f t="shared" si="1"/>
        <v>6.5805555555555557</v>
      </c>
      <c r="W52" s="150">
        <f t="shared" si="2"/>
        <v>0</v>
      </c>
      <c r="X52" s="146"/>
    </row>
    <row r="53" spans="1:24" ht="9.75" customHeight="1" x14ac:dyDescent="0.25">
      <c r="A53" s="288">
        <v>910</v>
      </c>
      <c r="B53" s="288"/>
      <c r="D53" s="258" t="s">
        <v>224</v>
      </c>
      <c r="E53" s="289">
        <v>40736</v>
      </c>
      <c r="F53" s="289"/>
      <c r="G53" s="289"/>
      <c r="H53" s="289"/>
      <c r="I53" s="290" t="s">
        <v>205</v>
      </c>
      <c r="J53" s="290"/>
      <c r="K53" s="290"/>
      <c r="L53" s="47">
        <v>5</v>
      </c>
      <c r="M53" s="262">
        <v>592.11</v>
      </c>
      <c r="N53" s="47">
        <v>100</v>
      </c>
      <c r="O53" s="291">
        <v>592.11</v>
      </c>
      <c r="P53" s="291"/>
      <c r="Q53" s="291"/>
      <c r="R53" s="262">
        <v>0</v>
      </c>
      <c r="S53" s="262">
        <v>592.11</v>
      </c>
      <c r="U53" s="149">
        <f t="shared" si="0"/>
        <v>42561</v>
      </c>
      <c r="V53" s="146">
        <f t="shared" si="1"/>
        <v>6.4694444444444441</v>
      </c>
      <c r="W53" s="150">
        <f t="shared" si="2"/>
        <v>0</v>
      </c>
      <c r="X53" s="146"/>
    </row>
    <row r="54" spans="1:24" ht="9.75" customHeight="1" x14ac:dyDescent="0.25">
      <c r="A54" s="288">
        <v>1111</v>
      </c>
      <c r="B54" s="288"/>
      <c r="D54" s="258" t="s">
        <v>225</v>
      </c>
      <c r="E54" s="289">
        <v>42460</v>
      </c>
      <c r="F54" s="289"/>
      <c r="G54" s="289"/>
      <c r="H54" s="289"/>
      <c r="I54" s="290" t="s">
        <v>205</v>
      </c>
      <c r="J54" s="290"/>
      <c r="K54" s="290"/>
      <c r="L54" s="47">
        <v>10</v>
      </c>
      <c r="M54" s="262">
        <v>55.2</v>
      </c>
      <c r="N54" s="47">
        <v>100</v>
      </c>
      <c r="O54" s="291">
        <v>4.1399999999999997</v>
      </c>
      <c r="P54" s="291"/>
      <c r="Q54" s="291"/>
      <c r="R54" s="262">
        <v>5.5200000000000005</v>
      </c>
      <c r="S54" s="262">
        <v>9.66</v>
      </c>
      <c r="U54" s="149">
        <f t="shared" si="0"/>
        <v>46110</v>
      </c>
      <c r="V54" s="146">
        <f t="shared" si="1"/>
        <v>1.75</v>
      </c>
      <c r="W54" s="150">
        <f t="shared" si="2"/>
        <v>8.25</v>
      </c>
      <c r="X54" s="146">
        <f>IF(W54=0,0,W54)</f>
        <v>8.25</v>
      </c>
    </row>
    <row r="55" spans="1:24" ht="9.75" customHeight="1" x14ac:dyDescent="0.25">
      <c r="A55" s="288">
        <v>1152</v>
      </c>
      <c r="B55" s="288"/>
      <c r="D55" s="258" t="s">
        <v>223</v>
      </c>
      <c r="E55" s="289">
        <v>42825</v>
      </c>
      <c r="F55" s="289"/>
      <c r="G55" s="289"/>
      <c r="H55" s="289"/>
      <c r="I55" s="290" t="s">
        <v>205</v>
      </c>
      <c r="J55" s="290"/>
      <c r="K55" s="290"/>
      <c r="L55" s="47">
        <v>10</v>
      </c>
      <c r="M55" s="262">
        <v>381.99</v>
      </c>
      <c r="N55" s="47">
        <v>100</v>
      </c>
      <c r="O55" s="291">
        <v>0</v>
      </c>
      <c r="P55" s="291"/>
      <c r="Q55" s="291"/>
      <c r="R55" s="262">
        <v>28.650000000000002</v>
      </c>
      <c r="S55" s="262">
        <v>28.650000000000002</v>
      </c>
      <c r="U55" s="149">
        <f t="shared" si="0"/>
        <v>46475</v>
      </c>
      <c r="V55" s="146">
        <f t="shared" si="1"/>
        <v>0.75</v>
      </c>
      <c r="W55" s="150">
        <f t="shared" si="2"/>
        <v>9.25</v>
      </c>
      <c r="X55" s="146">
        <f>IF(W55=0,0,W55)</f>
        <v>9.25</v>
      </c>
    </row>
    <row r="56" spans="1:24" ht="2.25" customHeight="1" x14ac:dyDescent="0.25">
      <c r="X56" s="146"/>
    </row>
    <row r="57" spans="1:24" ht="12" customHeight="1" x14ac:dyDescent="0.25">
      <c r="A57" s="283" t="s">
        <v>226</v>
      </c>
      <c r="B57" s="283"/>
      <c r="C57" s="283"/>
      <c r="D57" s="283"/>
      <c r="E57" s="283"/>
      <c r="F57" s="283"/>
      <c r="G57" s="283"/>
      <c r="M57" s="260">
        <v>17195.16</v>
      </c>
      <c r="O57" s="284">
        <v>16755.29</v>
      </c>
      <c r="P57" s="284"/>
      <c r="Q57" s="284"/>
      <c r="R57" s="260">
        <v>34.17</v>
      </c>
      <c r="S57" s="260">
        <v>16789.46</v>
      </c>
      <c r="U57" s="281" t="s">
        <v>208</v>
      </c>
      <c r="V57" s="282"/>
      <c r="W57" s="147">
        <f>AVERAGE(W40:W55)</f>
        <v>1.09375</v>
      </c>
      <c r="X57" s="147">
        <f>AVERAGE(X40:X55)</f>
        <v>8.75</v>
      </c>
    </row>
    <row r="58" spans="1:24" ht="14.25" customHeight="1" x14ac:dyDescent="0.25">
      <c r="B58" s="283" t="s">
        <v>209</v>
      </c>
      <c r="C58" s="283"/>
      <c r="D58" s="283"/>
      <c r="E58" s="283"/>
      <c r="F58" s="283"/>
      <c r="G58" s="283"/>
      <c r="H58" s="283"/>
      <c r="M58" s="261">
        <v>0</v>
      </c>
      <c r="O58" s="285">
        <v>0</v>
      </c>
      <c r="P58" s="285"/>
      <c r="Q58" s="285"/>
      <c r="R58" s="261">
        <v>0</v>
      </c>
      <c r="S58" s="261">
        <v>0</v>
      </c>
      <c r="X58" s="146"/>
    </row>
    <row r="59" spans="1:24" ht="9.75" customHeight="1" thickBot="1" x14ac:dyDescent="0.3">
      <c r="A59" s="283" t="s">
        <v>227</v>
      </c>
      <c r="B59" s="283"/>
      <c r="C59" s="283"/>
      <c r="D59" s="283"/>
      <c r="E59" s="283"/>
      <c r="F59" s="283"/>
      <c r="G59" s="283"/>
      <c r="M59" s="286">
        <v>17195.16</v>
      </c>
      <c r="O59" s="286">
        <v>16755.29</v>
      </c>
      <c r="P59" s="286"/>
      <c r="Q59" s="286"/>
      <c r="R59" s="286">
        <v>34.17</v>
      </c>
      <c r="S59" s="286">
        <v>16789.46</v>
      </c>
      <c r="X59" s="146"/>
    </row>
    <row r="60" spans="1:24" ht="6" customHeight="1" thickTop="1" thickBot="1" x14ac:dyDescent="0.3">
      <c r="M60" s="286"/>
      <c r="O60" s="286"/>
      <c r="P60" s="286"/>
      <c r="Q60" s="286"/>
      <c r="R60" s="286"/>
      <c r="S60" s="286"/>
      <c r="X60" s="146"/>
    </row>
    <row r="61" spans="1:24" ht="2.25" customHeight="1" thickTop="1" x14ac:dyDescent="0.25">
      <c r="X61" s="146"/>
    </row>
    <row r="62" spans="1:24" ht="14.25" customHeight="1" x14ac:dyDescent="0.25">
      <c r="A62" s="283" t="s">
        <v>228</v>
      </c>
      <c r="B62" s="283"/>
      <c r="C62" s="283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140" t="s">
        <v>201</v>
      </c>
      <c r="V62" s="141">
        <v>43100</v>
      </c>
      <c r="W62" s="140" t="s">
        <v>202</v>
      </c>
      <c r="X62" s="148" t="s">
        <v>203</v>
      </c>
    </row>
    <row r="63" spans="1:24" ht="2.25" customHeight="1" x14ac:dyDescent="0.25">
      <c r="W63" s="142"/>
      <c r="X63" s="146"/>
    </row>
    <row r="64" spans="1:24" ht="0.75" customHeight="1" x14ac:dyDescent="0.25">
      <c r="X64" s="146"/>
    </row>
    <row r="65" spans="1:24" ht="9.75" customHeight="1" x14ac:dyDescent="0.25">
      <c r="A65" s="288">
        <v>237</v>
      </c>
      <c r="B65" s="288"/>
      <c r="D65" s="258" t="s">
        <v>229</v>
      </c>
      <c r="E65" s="289">
        <v>35247</v>
      </c>
      <c r="F65" s="289"/>
      <c r="G65" s="289"/>
      <c r="H65" s="289"/>
      <c r="I65" s="290" t="s">
        <v>205</v>
      </c>
      <c r="J65" s="290"/>
      <c r="K65" s="290"/>
      <c r="L65" s="47">
        <v>33</v>
      </c>
      <c r="M65" s="262">
        <v>298</v>
      </c>
      <c r="N65" s="47">
        <v>100</v>
      </c>
      <c r="O65" s="291">
        <v>185.12</v>
      </c>
      <c r="P65" s="291"/>
      <c r="Q65" s="291"/>
      <c r="R65" s="262">
        <v>9.0299999999999994</v>
      </c>
      <c r="S65" s="262">
        <v>194.15</v>
      </c>
      <c r="U65" s="149">
        <f>E65+(L65*365)</f>
        <v>47292</v>
      </c>
      <c r="V65" s="146">
        <f>YEARFRAC(E65,$V$14)</f>
        <v>21.5</v>
      </c>
      <c r="W65" s="150">
        <f>IF(V65&gt;L65,0,L65-V65)</f>
        <v>11.5</v>
      </c>
      <c r="X65" s="146">
        <f>IF(W65=0,0,W65)</f>
        <v>11.5</v>
      </c>
    </row>
    <row r="66" spans="1:24" ht="9.75" customHeight="1" x14ac:dyDescent="0.25">
      <c r="A66" s="288">
        <v>257</v>
      </c>
      <c r="B66" s="288"/>
      <c r="D66" s="258" t="s">
        <v>230</v>
      </c>
      <c r="E66" s="289">
        <v>36280</v>
      </c>
      <c r="F66" s="289"/>
      <c r="G66" s="289"/>
      <c r="H66" s="289"/>
      <c r="I66" s="290" t="s">
        <v>205</v>
      </c>
      <c r="J66" s="290"/>
      <c r="K66" s="290"/>
      <c r="L66" s="47">
        <v>33</v>
      </c>
      <c r="M66" s="262">
        <v>220.5</v>
      </c>
      <c r="N66" s="47">
        <v>100</v>
      </c>
      <c r="O66" s="291">
        <v>220.5</v>
      </c>
      <c r="P66" s="291"/>
      <c r="Q66" s="291"/>
      <c r="R66" s="262">
        <v>0</v>
      </c>
      <c r="S66" s="262">
        <v>220.5</v>
      </c>
      <c r="U66" s="149">
        <f>E66+(L66*365)</f>
        <v>48325</v>
      </c>
      <c r="V66" s="146">
        <f>YEARFRAC(E66,$V$14)</f>
        <v>18.666666666666668</v>
      </c>
      <c r="W66" s="150">
        <f>IF(V66&gt;L66,0,L66-V66)</f>
        <v>14.333333333333332</v>
      </c>
      <c r="X66" s="146">
        <f>IF(W66=0,0,W66)</f>
        <v>14.333333333333332</v>
      </c>
    </row>
    <row r="67" spans="1:24" ht="9.75" customHeight="1" x14ac:dyDescent="0.25">
      <c r="A67" s="288">
        <v>472</v>
      </c>
      <c r="B67" s="288"/>
      <c r="D67" s="258" t="s">
        <v>231</v>
      </c>
      <c r="E67" s="289">
        <v>37718</v>
      </c>
      <c r="F67" s="289"/>
      <c r="G67" s="289"/>
      <c r="H67" s="289"/>
      <c r="I67" s="290" t="s">
        <v>205</v>
      </c>
      <c r="J67" s="290"/>
      <c r="K67" s="290"/>
      <c r="L67" s="47">
        <v>33</v>
      </c>
      <c r="M67" s="262">
        <v>174.67000000000002</v>
      </c>
      <c r="N67" s="47">
        <v>100</v>
      </c>
      <c r="O67" s="291">
        <v>72.739999999999995</v>
      </c>
      <c r="P67" s="291"/>
      <c r="Q67" s="291"/>
      <c r="R67" s="262">
        <v>5.29</v>
      </c>
      <c r="S67" s="262">
        <v>78.03</v>
      </c>
      <c r="U67" s="149">
        <f>E67+(L67*365)</f>
        <v>49763</v>
      </c>
      <c r="V67" s="146">
        <f>YEARFRAC(E67,$V$14)</f>
        <v>14.733333333333333</v>
      </c>
      <c r="W67" s="150">
        <f>IF(V67&gt;L67,0,L67-V67)</f>
        <v>18.266666666666666</v>
      </c>
      <c r="X67" s="146">
        <f>IF(W67=0,0,W67)</f>
        <v>18.266666666666666</v>
      </c>
    </row>
    <row r="68" spans="1:24" ht="2.25" customHeight="1" x14ac:dyDescent="0.25">
      <c r="X68" s="146"/>
    </row>
    <row r="69" spans="1:24" ht="12" customHeight="1" x14ac:dyDescent="0.25">
      <c r="A69" s="283" t="s">
        <v>232</v>
      </c>
      <c r="B69" s="283"/>
      <c r="C69" s="283"/>
      <c r="D69" s="283"/>
      <c r="E69" s="283"/>
      <c r="F69" s="283"/>
      <c r="G69" s="283"/>
      <c r="M69" s="260">
        <v>693.17</v>
      </c>
      <c r="O69" s="284">
        <v>478.36</v>
      </c>
      <c r="P69" s="284"/>
      <c r="Q69" s="284"/>
      <c r="R69" s="260">
        <v>14.32</v>
      </c>
      <c r="S69" s="260">
        <v>492.68</v>
      </c>
      <c r="U69" s="281" t="s">
        <v>208</v>
      </c>
      <c r="V69" s="282"/>
      <c r="W69" s="147">
        <f>AVERAGE(W65:W67)</f>
        <v>14.699999999999998</v>
      </c>
      <c r="X69" s="147">
        <f>AVERAGE(X65:X67)</f>
        <v>14.699999999999998</v>
      </c>
    </row>
    <row r="70" spans="1:24" ht="14.25" customHeight="1" x14ac:dyDescent="0.25">
      <c r="B70" s="283" t="s">
        <v>209</v>
      </c>
      <c r="C70" s="283"/>
      <c r="D70" s="283"/>
      <c r="E70" s="283"/>
      <c r="F70" s="283"/>
      <c r="G70" s="283"/>
      <c r="H70" s="283"/>
      <c r="M70" s="261">
        <v>0</v>
      </c>
      <c r="O70" s="285">
        <v>0</v>
      </c>
      <c r="P70" s="285"/>
      <c r="Q70" s="285"/>
      <c r="R70" s="261">
        <v>0</v>
      </c>
      <c r="S70" s="261">
        <v>0</v>
      </c>
      <c r="X70" s="146"/>
    </row>
    <row r="71" spans="1:24" ht="9.75" customHeight="1" thickBot="1" x14ac:dyDescent="0.3">
      <c r="A71" s="283" t="s">
        <v>233</v>
      </c>
      <c r="B71" s="283"/>
      <c r="C71" s="283"/>
      <c r="D71" s="283"/>
      <c r="E71" s="283"/>
      <c r="F71" s="283"/>
      <c r="G71" s="283"/>
      <c r="M71" s="286">
        <v>693.17</v>
      </c>
      <c r="O71" s="286">
        <v>478.36</v>
      </c>
      <c r="P71" s="286"/>
      <c r="Q71" s="286"/>
      <c r="R71" s="286">
        <v>14.32</v>
      </c>
      <c r="S71" s="286">
        <v>492.68</v>
      </c>
      <c r="X71" s="146"/>
    </row>
    <row r="72" spans="1:24" ht="6" customHeight="1" thickTop="1" thickBot="1" x14ac:dyDescent="0.3">
      <c r="M72" s="286"/>
      <c r="O72" s="286"/>
      <c r="P72" s="286"/>
      <c r="Q72" s="286"/>
      <c r="R72" s="286"/>
      <c r="S72" s="286"/>
      <c r="X72" s="146"/>
    </row>
    <row r="73" spans="1:24" ht="2.25" customHeight="1" thickTop="1" x14ac:dyDescent="0.25">
      <c r="X73" s="146"/>
    </row>
    <row r="74" spans="1:24" ht="14.25" customHeight="1" x14ac:dyDescent="0.25">
      <c r="A74" s="283" t="s">
        <v>234</v>
      </c>
      <c r="B74" s="283"/>
      <c r="C74" s="283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140" t="s">
        <v>201</v>
      </c>
      <c r="V74" s="141">
        <v>43100</v>
      </c>
      <c r="W74" s="140" t="s">
        <v>202</v>
      </c>
      <c r="X74" s="148" t="s">
        <v>203</v>
      </c>
    </row>
    <row r="75" spans="1:24" ht="2.25" customHeight="1" x14ac:dyDescent="0.25">
      <c r="W75" s="142"/>
      <c r="X75" s="146"/>
    </row>
    <row r="76" spans="1:24" ht="9.75" customHeight="1" x14ac:dyDescent="0.25">
      <c r="A76" s="288">
        <v>38</v>
      </c>
      <c r="B76" s="288"/>
      <c r="D76" s="258" t="s">
        <v>234</v>
      </c>
      <c r="E76" s="289">
        <v>39454</v>
      </c>
      <c r="F76" s="289"/>
      <c r="G76" s="289"/>
      <c r="H76" s="289"/>
      <c r="I76" s="290" t="s">
        <v>205</v>
      </c>
      <c r="J76" s="290"/>
      <c r="K76" s="290"/>
      <c r="L76" s="47">
        <v>33</v>
      </c>
      <c r="M76" s="262">
        <v>464.28000000000003</v>
      </c>
      <c r="N76" s="47">
        <v>100</v>
      </c>
      <c r="O76" s="291">
        <v>126.63000000000001</v>
      </c>
      <c r="P76" s="291"/>
      <c r="Q76" s="291"/>
      <c r="R76" s="262">
        <v>14.07</v>
      </c>
      <c r="S76" s="262">
        <v>140.69999999999999</v>
      </c>
      <c r="U76" s="149">
        <f t="shared" ref="U76:U107" si="3">E76+(L76*365)</f>
        <v>51499</v>
      </c>
      <c r="V76" s="146">
        <f t="shared" ref="V76:V107" si="4">YEARFRAC(E76,$V$14)</f>
        <v>9.9833333333333325</v>
      </c>
      <c r="W76" s="150">
        <f t="shared" ref="W76:W107" si="5">IF(V76&gt;L76,0,L76-V76)</f>
        <v>23.016666666666666</v>
      </c>
      <c r="X76" s="146">
        <f t="shared" ref="X76:X100" si="6">IF(W76=0,0,W76)</f>
        <v>23.016666666666666</v>
      </c>
    </row>
    <row r="77" spans="1:24" ht="9.75" customHeight="1" x14ac:dyDescent="0.25">
      <c r="A77" s="288">
        <v>102</v>
      </c>
      <c r="B77" s="288"/>
      <c r="D77" s="258" t="s">
        <v>234</v>
      </c>
      <c r="E77" s="289">
        <v>32873</v>
      </c>
      <c r="F77" s="289"/>
      <c r="G77" s="289"/>
      <c r="H77" s="289"/>
      <c r="I77" s="290" t="s">
        <v>205</v>
      </c>
      <c r="J77" s="290"/>
      <c r="K77" s="290"/>
      <c r="L77" s="47">
        <v>33</v>
      </c>
      <c r="M77" s="262">
        <v>65</v>
      </c>
      <c r="N77" s="47">
        <v>100</v>
      </c>
      <c r="O77" s="291">
        <v>53.35</v>
      </c>
      <c r="P77" s="291"/>
      <c r="Q77" s="291"/>
      <c r="R77" s="262">
        <v>1.97</v>
      </c>
      <c r="S77" s="262">
        <v>55.32</v>
      </c>
      <c r="U77" s="149">
        <f t="shared" si="3"/>
        <v>44918</v>
      </c>
      <c r="V77" s="146">
        <f t="shared" si="4"/>
        <v>28</v>
      </c>
      <c r="W77" s="150">
        <f t="shared" si="5"/>
        <v>5</v>
      </c>
      <c r="X77" s="146">
        <f t="shared" si="6"/>
        <v>5</v>
      </c>
    </row>
    <row r="78" spans="1:24" ht="9.75" customHeight="1" x14ac:dyDescent="0.25">
      <c r="A78" s="288">
        <v>116</v>
      </c>
      <c r="B78" s="288"/>
      <c r="D78" s="258" t="s">
        <v>234</v>
      </c>
      <c r="E78" s="289">
        <v>33177</v>
      </c>
      <c r="F78" s="289"/>
      <c r="G78" s="289"/>
      <c r="H78" s="289"/>
      <c r="I78" s="290" t="s">
        <v>205</v>
      </c>
      <c r="J78" s="290"/>
      <c r="K78" s="290"/>
      <c r="L78" s="47">
        <v>33</v>
      </c>
      <c r="M78" s="262">
        <v>1020</v>
      </c>
      <c r="N78" s="47">
        <v>100</v>
      </c>
      <c r="O78" s="291">
        <v>811.39</v>
      </c>
      <c r="P78" s="291"/>
      <c r="Q78" s="291"/>
      <c r="R78" s="262">
        <v>30.91</v>
      </c>
      <c r="S78" s="262">
        <v>842.30000000000007</v>
      </c>
      <c r="U78" s="149">
        <f t="shared" si="3"/>
        <v>45222</v>
      </c>
      <c r="V78" s="146">
        <f t="shared" si="4"/>
        <v>27.166666666666668</v>
      </c>
      <c r="W78" s="150">
        <f t="shared" si="5"/>
        <v>5.8333333333333321</v>
      </c>
      <c r="X78" s="146">
        <f t="shared" si="6"/>
        <v>5.8333333333333321</v>
      </c>
    </row>
    <row r="79" spans="1:24" ht="9.75" customHeight="1" x14ac:dyDescent="0.25">
      <c r="A79" s="288">
        <v>129</v>
      </c>
      <c r="B79" s="288"/>
      <c r="D79" s="258" t="s">
        <v>235</v>
      </c>
      <c r="E79" s="289">
        <v>33419</v>
      </c>
      <c r="F79" s="289"/>
      <c r="G79" s="289"/>
      <c r="H79" s="289"/>
      <c r="I79" s="290" t="s">
        <v>205</v>
      </c>
      <c r="J79" s="290"/>
      <c r="K79" s="290"/>
      <c r="L79" s="47">
        <v>33</v>
      </c>
      <c r="M79" s="262">
        <v>2471</v>
      </c>
      <c r="N79" s="47">
        <v>100</v>
      </c>
      <c r="O79" s="291">
        <v>1915.68</v>
      </c>
      <c r="P79" s="291"/>
      <c r="Q79" s="291"/>
      <c r="R79" s="262">
        <v>74.88</v>
      </c>
      <c r="S79" s="262">
        <v>1990.56</v>
      </c>
      <c r="U79" s="149">
        <f t="shared" si="3"/>
        <v>45464</v>
      </c>
      <c r="V79" s="146">
        <f t="shared" si="4"/>
        <v>26.5</v>
      </c>
      <c r="W79" s="150">
        <f t="shared" si="5"/>
        <v>6.5</v>
      </c>
      <c r="X79" s="146">
        <f t="shared" si="6"/>
        <v>6.5</v>
      </c>
    </row>
    <row r="80" spans="1:24" ht="9.75" customHeight="1" x14ac:dyDescent="0.25">
      <c r="A80" s="288">
        <v>130</v>
      </c>
      <c r="B80" s="288"/>
      <c r="D80" s="258" t="s">
        <v>236</v>
      </c>
      <c r="E80" s="289">
        <v>33419</v>
      </c>
      <c r="F80" s="289"/>
      <c r="G80" s="289"/>
      <c r="H80" s="289"/>
      <c r="I80" s="290" t="s">
        <v>205</v>
      </c>
      <c r="J80" s="290"/>
      <c r="K80" s="290"/>
      <c r="L80" s="47">
        <v>33</v>
      </c>
      <c r="M80" s="262">
        <v>712</v>
      </c>
      <c r="N80" s="47">
        <v>100</v>
      </c>
      <c r="O80" s="291">
        <v>552.09</v>
      </c>
      <c r="P80" s="291"/>
      <c r="Q80" s="291"/>
      <c r="R80" s="262">
        <v>21.580000000000002</v>
      </c>
      <c r="S80" s="262">
        <v>573.66999999999996</v>
      </c>
      <c r="U80" s="149">
        <f t="shared" si="3"/>
        <v>45464</v>
      </c>
      <c r="V80" s="146">
        <f t="shared" si="4"/>
        <v>26.5</v>
      </c>
      <c r="W80" s="150">
        <f t="shared" si="5"/>
        <v>6.5</v>
      </c>
      <c r="X80" s="146">
        <f t="shared" si="6"/>
        <v>6.5</v>
      </c>
    </row>
    <row r="81" spans="1:24" ht="9.75" customHeight="1" x14ac:dyDescent="0.25">
      <c r="A81" s="288">
        <v>136</v>
      </c>
      <c r="B81" s="288"/>
      <c r="D81" s="258" t="s">
        <v>234</v>
      </c>
      <c r="E81" s="289">
        <v>33603</v>
      </c>
      <c r="F81" s="289"/>
      <c r="G81" s="289"/>
      <c r="H81" s="289"/>
      <c r="I81" s="290" t="s">
        <v>205</v>
      </c>
      <c r="J81" s="290"/>
      <c r="K81" s="290"/>
      <c r="L81" s="47">
        <v>33</v>
      </c>
      <c r="M81" s="262">
        <v>583</v>
      </c>
      <c r="N81" s="47">
        <v>100</v>
      </c>
      <c r="O81" s="291">
        <v>443.22</v>
      </c>
      <c r="P81" s="291"/>
      <c r="Q81" s="291"/>
      <c r="R81" s="262">
        <v>17.670000000000002</v>
      </c>
      <c r="S81" s="262">
        <v>460.89</v>
      </c>
      <c r="U81" s="149">
        <f t="shared" si="3"/>
        <v>45648</v>
      </c>
      <c r="V81" s="146">
        <f t="shared" si="4"/>
        <v>26</v>
      </c>
      <c r="W81" s="150">
        <f t="shared" si="5"/>
        <v>7</v>
      </c>
      <c r="X81" s="146">
        <f t="shared" si="6"/>
        <v>7</v>
      </c>
    </row>
    <row r="82" spans="1:24" ht="9.75" customHeight="1" x14ac:dyDescent="0.25">
      <c r="A82" s="288">
        <v>154</v>
      </c>
      <c r="B82" s="288"/>
      <c r="D82" s="258" t="s">
        <v>237</v>
      </c>
      <c r="E82" s="289">
        <v>33635</v>
      </c>
      <c r="F82" s="289"/>
      <c r="G82" s="289"/>
      <c r="H82" s="289"/>
      <c r="I82" s="290" t="s">
        <v>205</v>
      </c>
      <c r="J82" s="290"/>
      <c r="K82" s="290"/>
      <c r="L82" s="47">
        <v>33</v>
      </c>
      <c r="M82" s="262">
        <v>82</v>
      </c>
      <c r="N82" s="47">
        <v>100</v>
      </c>
      <c r="O82" s="291">
        <v>61.800000000000004</v>
      </c>
      <c r="P82" s="291"/>
      <c r="Q82" s="291"/>
      <c r="R82" s="262">
        <v>2.48</v>
      </c>
      <c r="S82" s="262">
        <v>64.28</v>
      </c>
      <c r="U82" s="149">
        <f t="shared" si="3"/>
        <v>45680</v>
      </c>
      <c r="V82" s="146">
        <f t="shared" si="4"/>
        <v>25.916666666666668</v>
      </c>
      <c r="W82" s="150">
        <f t="shared" si="5"/>
        <v>7.0833333333333321</v>
      </c>
      <c r="X82" s="146">
        <f t="shared" si="6"/>
        <v>7.0833333333333321</v>
      </c>
    </row>
    <row r="83" spans="1:24" ht="9.75" customHeight="1" x14ac:dyDescent="0.25">
      <c r="A83" s="288">
        <v>155</v>
      </c>
      <c r="B83" s="288"/>
      <c r="D83" s="258" t="s">
        <v>238</v>
      </c>
      <c r="E83" s="289">
        <v>33817</v>
      </c>
      <c r="F83" s="289"/>
      <c r="G83" s="289"/>
      <c r="H83" s="289"/>
      <c r="I83" s="290" t="s">
        <v>205</v>
      </c>
      <c r="J83" s="290"/>
      <c r="K83" s="290"/>
      <c r="L83" s="47">
        <v>33</v>
      </c>
      <c r="M83" s="262">
        <v>3112</v>
      </c>
      <c r="N83" s="47">
        <v>100</v>
      </c>
      <c r="O83" s="291">
        <v>2302.4899999999998</v>
      </c>
      <c r="P83" s="291"/>
      <c r="Q83" s="291"/>
      <c r="R83" s="262">
        <v>94.3</v>
      </c>
      <c r="S83" s="262">
        <v>2396.79</v>
      </c>
      <c r="U83" s="149">
        <f t="shared" si="3"/>
        <v>45862</v>
      </c>
      <c r="V83" s="146">
        <f t="shared" si="4"/>
        <v>25.416666666666668</v>
      </c>
      <c r="W83" s="150">
        <f t="shared" si="5"/>
        <v>7.5833333333333321</v>
      </c>
      <c r="X83" s="146">
        <f t="shared" si="6"/>
        <v>7.5833333333333321</v>
      </c>
    </row>
    <row r="84" spans="1:24" ht="9.75" customHeight="1" x14ac:dyDescent="0.25">
      <c r="A84" s="288">
        <v>156</v>
      </c>
      <c r="B84" s="288"/>
      <c r="D84" s="258" t="s">
        <v>239</v>
      </c>
      <c r="E84" s="289">
        <v>33878</v>
      </c>
      <c r="F84" s="289"/>
      <c r="G84" s="289"/>
      <c r="H84" s="289"/>
      <c r="I84" s="290" t="s">
        <v>205</v>
      </c>
      <c r="J84" s="290"/>
      <c r="K84" s="290"/>
      <c r="L84" s="47">
        <v>33</v>
      </c>
      <c r="M84" s="262">
        <v>533</v>
      </c>
      <c r="N84" s="47">
        <v>100</v>
      </c>
      <c r="O84" s="291">
        <v>391.64</v>
      </c>
      <c r="P84" s="291"/>
      <c r="Q84" s="291"/>
      <c r="R84" s="262">
        <v>16.149999999999999</v>
      </c>
      <c r="S84" s="262">
        <v>407.79</v>
      </c>
      <c r="U84" s="149">
        <f t="shared" si="3"/>
        <v>45923</v>
      </c>
      <c r="V84" s="146">
        <f t="shared" si="4"/>
        <v>25.25</v>
      </c>
      <c r="W84" s="150">
        <f t="shared" si="5"/>
        <v>7.75</v>
      </c>
      <c r="X84" s="146">
        <f t="shared" si="6"/>
        <v>7.75</v>
      </c>
    </row>
    <row r="85" spans="1:24" ht="9.75" customHeight="1" x14ac:dyDescent="0.25">
      <c r="A85" s="288">
        <v>161</v>
      </c>
      <c r="B85" s="288"/>
      <c r="D85" s="258" t="s">
        <v>239</v>
      </c>
      <c r="E85" s="289">
        <v>33939</v>
      </c>
      <c r="F85" s="289"/>
      <c r="G85" s="289"/>
      <c r="H85" s="289"/>
      <c r="I85" s="290" t="s">
        <v>205</v>
      </c>
      <c r="J85" s="290"/>
      <c r="K85" s="290"/>
      <c r="L85" s="47">
        <v>33</v>
      </c>
      <c r="M85" s="262">
        <v>997</v>
      </c>
      <c r="N85" s="47">
        <v>100</v>
      </c>
      <c r="O85" s="291">
        <v>727.56000000000006</v>
      </c>
      <c r="P85" s="291"/>
      <c r="Q85" s="291"/>
      <c r="R85" s="262">
        <v>30.21</v>
      </c>
      <c r="S85" s="262">
        <v>757.77</v>
      </c>
      <c r="U85" s="149">
        <f t="shared" si="3"/>
        <v>45984</v>
      </c>
      <c r="V85" s="146">
        <f t="shared" si="4"/>
        <v>25.083333333333332</v>
      </c>
      <c r="W85" s="150">
        <f t="shared" si="5"/>
        <v>7.9166666666666679</v>
      </c>
      <c r="X85" s="146">
        <f t="shared" si="6"/>
        <v>7.9166666666666679</v>
      </c>
    </row>
    <row r="86" spans="1:24" ht="9.75" customHeight="1" x14ac:dyDescent="0.25">
      <c r="A86" s="288">
        <v>175</v>
      </c>
      <c r="B86" s="288"/>
      <c r="D86" s="258" t="s">
        <v>240</v>
      </c>
      <c r="E86" s="289">
        <v>34213</v>
      </c>
      <c r="F86" s="289"/>
      <c r="G86" s="289"/>
      <c r="H86" s="289"/>
      <c r="I86" s="290" t="s">
        <v>205</v>
      </c>
      <c r="J86" s="290"/>
      <c r="K86" s="290"/>
      <c r="L86" s="47">
        <v>33</v>
      </c>
      <c r="M86" s="262">
        <v>38</v>
      </c>
      <c r="N86" s="47">
        <v>100</v>
      </c>
      <c r="O86" s="291">
        <v>26.830000000000002</v>
      </c>
      <c r="P86" s="291"/>
      <c r="Q86" s="291"/>
      <c r="R86" s="262">
        <v>1.1499999999999999</v>
      </c>
      <c r="S86" s="262">
        <v>27.98</v>
      </c>
      <c r="U86" s="149">
        <f t="shared" si="3"/>
        <v>46258</v>
      </c>
      <c r="V86" s="146">
        <f t="shared" si="4"/>
        <v>24.333333333333332</v>
      </c>
      <c r="W86" s="150">
        <f t="shared" si="5"/>
        <v>8.6666666666666679</v>
      </c>
      <c r="X86" s="146">
        <f t="shared" si="6"/>
        <v>8.6666666666666679</v>
      </c>
    </row>
    <row r="87" spans="1:24" ht="9.75" customHeight="1" x14ac:dyDescent="0.25">
      <c r="A87" s="288">
        <v>194</v>
      </c>
      <c r="B87" s="288"/>
      <c r="D87" s="258" t="s">
        <v>241</v>
      </c>
      <c r="E87" s="289">
        <v>34335</v>
      </c>
      <c r="F87" s="289"/>
      <c r="G87" s="289"/>
      <c r="H87" s="289"/>
      <c r="I87" s="290" t="s">
        <v>205</v>
      </c>
      <c r="J87" s="290"/>
      <c r="K87" s="290"/>
      <c r="L87" s="47">
        <v>33</v>
      </c>
      <c r="M87" s="262">
        <v>111</v>
      </c>
      <c r="N87" s="47">
        <v>100</v>
      </c>
      <c r="O87" s="291">
        <v>77.28</v>
      </c>
      <c r="P87" s="291"/>
      <c r="Q87" s="291"/>
      <c r="R87" s="262">
        <v>3.36</v>
      </c>
      <c r="S87" s="262">
        <v>80.64</v>
      </c>
      <c r="U87" s="149">
        <f t="shared" si="3"/>
        <v>46380</v>
      </c>
      <c r="V87" s="146">
        <f t="shared" si="4"/>
        <v>24</v>
      </c>
      <c r="W87" s="150">
        <f t="shared" si="5"/>
        <v>9</v>
      </c>
      <c r="X87" s="146">
        <f t="shared" si="6"/>
        <v>9</v>
      </c>
    </row>
    <row r="88" spans="1:24" ht="9.75" customHeight="1" x14ac:dyDescent="0.25">
      <c r="A88" s="288">
        <v>195</v>
      </c>
      <c r="B88" s="288"/>
      <c r="D88" s="258" t="s">
        <v>242</v>
      </c>
      <c r="E88" s="289">
        <v>34516</v>
      </c>
      <c r="F88" s="289"/>
      <c r="G88" s="289"/>
      <c r="H88" s="289"/>
      <c r="I88" s="290" t="s">
        <v>205</v>
      </c>
      <c r="J88" s="290"/>
      <c r="K88" s="290"/>
      <c r="L88" s="47">
        <v>33</v>
      </c>
      <c r="M88" s="262">
        <v>1676</v>
      </c>
      <c r="N88" s="47">
        <v>100</v>
      </c>
      <c r="O88" s="291">
        <v>1142.77</v>
      </c>
      <c r="P88" s="291"/>
      <c r="Q88" s="291"/>
      <c r="R88" s="262">
        <v>50.79</v>
      </c>
      <c r="S88" s="262">
        <v>1193.56</v>
      </c>
      <c r="U88" s="149">
        <f t="shared" si="3"/>
        <v>46561</v>
      </c>
      <c r="V88" s="146">
        <f t="shared" si="4"/>
        <v>23.5</v>
      </c>
      <c r="W88" s="150">
        <f t="shared" si="5"/>
        <v>9.5</v>
      </c>
      <c r="X88" s="146">
        <f t="shared" si="6"/>
        <v>9.5</v>
      </c>
    </row>
    <row r="89" spans="1:24" ht="9.75" customHeight="1" x14ac:dyDescent="0.25">
      <c r="A89" s="288">
        <v>196</v>
      </c>
      <c r="B89" s="288"/>
      <c r="D89" s="258" t="s">
        <v>243</v>
      </c>
      <c r="E89" s="289">
        <v>34608</v>
      </c>
      <c r="F89" s="289"/>
      <c r="G89" s="289"/>
      <c r="H89" s="289"/>
      <c r="I89" s="290" t="s">
        <v>205</v>
      </c>
      <c r="J89" s="290"/>
      <c r="K89" s="290"/>
      <c r="L89" s="47">
        <v>33</v>
      </c>
      <c r="M89" s="262">
        <v>2607</v>
      </c>
      <c r="N89" s="47">
        <v>100</v>
      </c>
      <c r="O89" s="291">
        <v>1757.75</v>
      </c>
      <c r="P89" s="291"/>
      <c r="Q89" s="291"/>
      <c r="R89" s="262">
        <v>79</v>
      </c>
      <c r="S89" s="262">
        <v>1836.75</v>
      </c>
      <c r="U89" s="149">
        <f t="shared" si="3"/>
        <v>46653</v>
      </c>
      <c r="V89" s="146">
        <f t="shared" si="4"/>
        <v>23.25</v>
      </c>
      <c r="W89" s="150">
        <f t="shared" si="5"/>
        <v>9.75</v>
      </c>
      <c r="X89" s="146">
        <f t="shared" si="6"/>
        <v>9.75</v>
      </c>
    </row>
    <row r="90" spans="1:24" ht="9.75" customHeight="1" x14ac:dyDescent="0.25">
      <c r="A90" s="288">
        <v>213</v>
      </c>
      <c r="B90" s="288"/>
      <c r="D90" s="258" t="s">
        <v>244</v>
      </c>
      <c r="E90" s="289">
        <v>34700</v>
      </c>
      <c r="F90" s="289"/>
      <c r="G90" s="289"/>
      <c r="H90" s="289"/>
      <c r="I90" s="290" t="s">
        <v>205</v>
      </c>
      <c r="J90" s="290"/>
      <c r="K90" s="290"/>
      <c r="L90" s="47">
        <v>33</v>
      </c>
      <c r="M90" s="262">
        <v>294</v>
      </c>
      <c r="N90" s="47">
        <v>100</v>
      </c>
      <c r="O90" s="291">
        <v>196.02</v>
      </c>
      <c r="P90" s="291"/>
      <c r="Q90" s="291"/>
      <c r="R90" s="262">
        <v>8.91</v>
      </c>
      <c r="S90" s="262">
        <v>204.93</v>
      </c>
      <c r="U90" s="149">
        <f t="shared" si="3"/>
        <v>46745</v>
      </c>
      <c r="V90" s="146">
        <f t="shared" si="4"/>
        <v>23</v>
      </c>
      <c r="W90" s="150">
        <f t="shared" si="5"/>
        <v>10</v>
      </c>
      <c r="X90" s="146">
        <f t="shared" si="6"/>
        <v>10</v>
      </c>
    </row>
    <row r="91" spans="1:24" ht="9.75" customHeight="1" x14ac:dyDescent="0.25">
      <c r="A91" s="288">
        <v>214</v>
      </c>
      <c r="B91" s="288"/>
      <c r="D91" s="258" t="s">
        <v>245</v>
      </c>
      <c r="E91" s="289">
        <v>34790</v>
      </c>
      <c r="F91" s="289"/>
      <c r="G91" s="289"/>
      <c r="H91" s="289"/>
      <c r="I91" s="290" t="s">
        <v>205</v>
      </c>
      <c r="J91" s="290"/>
      <c r="K91" s="290"/>
      <c r="L91" s="47">
        <v>33</v>
      </c>
      <c r="M91" s="262">
        <v>2004</v>
      </c>
      <c r="N91" s="47">
        <v>100</v>
      </c>
      <c r="O91" s="291">
        <v>1320.88</v>
      </c>
      <c r="P91" s="291"/>
      <c r="Q91" s="291"/>
      <c r="R91" s="262">
        <v>60.730000000000004</v>
      </c>
      <c r="S91" s="262">
        <v>1381.6100000000001</v>
      </c>
      <c r="U91" s="149">
        <f t="shared" si="3"/>
        <v>46835</v>
      </c>
      <c r="V91" s="146">
        <f t="shared" si="4"/>
        <v>22.75</v>
      </c>
      <c r="W91" s="150">
        <f t="shared" si="5"/>
        <v>10.25</v>
      </c>
      <c r="X91" s="146">
        <f t="shared" si="6"/>
        <v>10.25</v>
      </c>
    </row>
    <row r="92" spans="1:24" ht="9.75" customHeight="1" x14ac:dyDescent="0.25">
      <c r="A92" s="288">
        <v>215</v>
      </c>
      <c r="B92" s="288"/>
      <c r="D92" s="258" t="s">
        <v>246</v>
      </c>
      <c r="E92" s="289">
        <v>34881</v>
      </c>
      <c r="F92" s="289"/>
      <c r="G92" s="289"/>
      <c r="H92" s="289"/>
      <c r="I92" s="290" t="s">
        <v>205</v>
      </c>
      <c r="J92" s="290"/>
      <c r="K92" s="290"/>
      <c r="L92" s="47">
        <v>33</v>
      </c>
      <c r="M92" s="262">
        <v>250</v>
      </c>
      <c r="N92" s="47">
        <v>100</v>
      </c>
      <c r="O92" s="291">
        <v>162.97</v>
      </c>
      <c r="P92" s="291"/>
      <c r="Q92" s="291"/>
      <c r="R92" s="262">
        <v>7.58</v>
      </c>
      <c r="S92" s="262">
        <v>170.55</v>
      </c>
      <c r="U92" s="149">
        <f t="shared" si="3"/>
        <v>46926</v>
      </c>
      <c r="V92" s="146">
        <f t="shared" si="4"/>
        <v>22.5</v>
      </c>
      <c r="W92" s="150">
        <f t="shared" si="5"/>
        <v>10.5</v>
      </c>
      <c r="X92" s="146">
        <f t="shared" si="6"/>
        <v>10.5</v>
      </c>
    </row>
    <row r="93" spans="1:24" ht="9.75" customHeight="1" x14ac:dyDescent="0.25">
      <c r="A93" s="288">
        <v>216</v>
      </c>
      <c r="B93" s="288"/>
      <c r="D93" s="258" t="s">
        <v>247</v>
      </c>
      <c r="E93" s="289">
        <v>34973</v>
      </c>
      <c r="F93" s="289"/>
      <c r="G93" s="289"/>
      <c r="H93" s="289"/>
      <c r="I93" s="290" t="s">
        <v>205</v>
      </c>
      <c r="J93" s="290"/>
      <c r="K93" s="290"/>
      <c r="L93" s="47">
        <v>33</v>
      </c>
      <c r="M93" s="262">
        <v>2004</v>
      </c>
      <c r="N93" s="47">
        <v>100</v>
      </c>
      <c r="O93" s="291">
        <v>1290.51</v>
      </c>
      <c r="P93" s="291"/>
      <c r="Q93" s="291"/>
      <c r="R93" s="262">
        <v>60.730000000000004</v>
      </c>
      <c r="S93" s="262">
        <v>1351.24</v>
      </c>
      <c r="U93" s="149">
        <f t="shared" si="3"/>
        <v>47018</v>
      </c>
      <c r="V93" s="146">
        <f t="shared" si="4"/>
        <v>22.25</v>
      </c>
      <c r="W93" s="150">
        <f t="shared" si="5"/>
        <v>10.75</v>
      </c>
      <c r="X93" s="146">
        <f t="shared" si="6"/>
        <v>10.75</v>
      </c>
    </row>
    <row r="94" spans="1:24" ht="9.75" customHeight="1" x14ac:dyDescent="0.25">
      <c r="A94" s="288">
        <v>233</v>
      </c>
      <c r="B94" s="288"/>
      <c r="D94" s="258" t="s">
        <v>248</v>
      </c>
      <c r="E94" s="289">
        <v>35065</v>
      </c>
      <c r="F94" s="289"/>
      <c r="G94" s="289"/>
      <c r="H94" s="289"/>
      <c r="I94" s="290" t="s">
        <v>205</v>
      </c>
      <c r="J94" s="290"/>
      <c r="K94" s="290"/>
      <c r="L94" s="47">
        <v>33</v>
      </c>
      <c r="M94" s="262">
        <v>445</v>
      </c>
      <c r="N94" s="47">
        <v>100</v>
      </c>
      <c r="O94" s="291">
        <v>283.08</v>
      </c>
      <c r="P94" s="291"/>
      <c r="Q94" s="291"/>
      <c r="R94" s="262">
        <v>13.48</v>
      </c>
      <c r="S94" s="262">
        <v>296.56</v>
      </c>
      <c r="U94" s="149">
        <f t="shared" si="3"/>
        <v>47110</v>
      </c>
      <c r="V94" s="146">
        <f t="shared" si="4"/>
        <v>22</v>
      </c>
      <c r="W94" s="150">
        <f t="shared" si="5"/>
        <v>11</v>
      </c>
      <c r="X94" s="146">
        <f t="shared" si="6"/>
        <v>11</v>
      </c>
    </row>
    <row r="95" spans="1:24" ht="9.75" customHeight="1" x14ac:dyDescent="0.25">
      <c r="A95" s="288">
        <v>234</v>
      </c>
      <c r="B95" s="288"/>
      <c r="D95" s="258" t="s">
        <v>249</v>
      </c>
      <c r="E95" s="289">
        <v>35156</v>
      </c>
      <c r="F95" s="289"/>
      <c r="G95" s="289"/>
      <c r="H95" s="289"/>
      <c r="I95" s="290" t="s">
        <v>205</v>
      </c>
      <c r="J95" s="290"/>
      <c r="K95" s="290"/>
      <c r="L95" s="47">
        <v>33</v>
      </c>
      <c r="M95" s="262">
        <v>666</v>
      </c>
      <c r="N95" s="47">
        <v>100</v>
      </c>
      <c r="O95" s="291">
        <v>418.74</v>
      </c>
      <c r="P95" s="291"/>
      <c r="Q95" s="291"/>
      <c r="R95" s="262">
        <v>20.18</v>
      </c>
      <c r="S95" s="262">
        <v>438.92</v>
      </c>
      <c r="U95" s="149">
        <f t="shared" si="3"/>
        <v>47201</v>
      </c>
      <c r="V95" s="146">
        <f t="shared" si="4"/>
        <v>21.75</v>
      </c>
      <c r="W95" s="150">
        <f t="shared" si="5"/>
        <v>11.25</v>
      </c>
      <c r="X95" s="146">
        <f t="shared" si="6"/>
        <v>11.25</v>
      </c>
    </row>
    <row r="96" spans="1:24" ht="9.75" customHeight="1" x14ac:dyDescent="0.25">
      <c r="A96" s="288">
        <v>235</v>
      </c>
      <c r="B96" s="288"/>
      <c r="D96" s="258" t="s">
        <v>250</v>
      </c>
      <c r="E96" s="289">
        <v>35247</v>
      </c>
      <c r="F96" s="289"/>
      <c r="G96" s="289"/>
      <c r="H96" s="289"/>
      <c r="I96" s="290" t="s">
        <v>205</v>
      </c>
      <c r="J96" s="290"/>
      <c r="K96" s="290"/>
      <c r="L96" s="47">
        <v>33</v>
      </c>
      <c r="M96" s="262">
        <v>2535</v>
      </c>
      <c r="N96" s="47">
        <v>100</v>
      </c>
      <c r="O96" s="291">
        <v>1574.81</v>
      </c>
      <c r="P96" s="291"/>
      <c r="Q96" s="291"/>
      <c r="R96" s="262">
        <v>76.819999999999993</v>
      </c>
      <c r="S96" s="262">
        <v>1651.63</v>
      </c>
      <c r="U96" s="149">
        <f t="shared" si="3"/>
        <v>47292</v>
      </c>
      <c r="V96" s="146">
        <f t="shared" si="4"/>
        <v>21.5</v>
      </c>
      <c r="W96" s="150">
        <f t="shared" si="5"/>
        <v>11.5</v>
      </c>
      <c r="X96" s="146">
        <f t="shared" si="6"/>
        <v>11.5</v>
      </c>
    </row>
    <row r="97" spans="1:24" ht="9.75" customHeight="1" x14ac:dyDescent="0.25">
      <c r="A97" s="288">
        <v>236</v>
      </c>
      <c r="B97" s="288"/>
      <c r="D97" s="258" t="s">
        <v>251</v>
      </c>
      <c r="E97" s="289">
        <v>35339</v>
      </c>
      <c r="F97" s="289"/>
      <c r="G97" s="289"/>
      <c r="H97" s="289"/>
      <c r="I97" s="290" t="s">
        <v>205</v>
      </c>
      <c r="J97" s="290"/>
      <c r="K97" s="290"/>
      <c r="L97" s="47">
        <v>33</v>
      </c>
      <c r="M97" s="262">
        <v>581</v>
      </c>
      <c r="N97" s="47">
        <v>100</v>
      </c>
      <c r="O97" s="291">
        <v>356.6</v>
      </c>
      <c r="P97" s="291"/>
      <c r="Q97" s="291"/>
      <c r="R97" s="262">
        <v>17.61</v>
      </c>
      <c r="S97" s="262">
        <v>374.21</v>
      </c>
      <c r="U97" s="149">
        <f t="shared" si="3"/>
        <v>47384</v>
      </c>
      <c r="V97" s="146">
        <f t="shared" si="4"/>
        <v>21.25</v>
      </c>
      <c r="W97" s="150">
        <f t="shared" si="5"/>
        <v>11.75</v>
      </c>
      <c r="X97" s="146">
        <f t="shared" si="6"/>
        <v>11.75</v>
      </c>
    </row>
    <row r="98" spans="1:24" ht="9.75" customHeight="1" x14ac:dyDescent="0.25">
      <c r="A98" s="288">
        <v>256</v>
      </c>
      <c r="B98" s="288"/>
      <c r="D98" s="258" t="s">
        <v>252</v>
      </c>
      <c r="E98" s="289">
        <v>36280</v>
      </c>
      <c r="F98" s="289"/>
      <c r="G98" s="289"/>
      <c r="H98" s="289"/>
      <c r="I98" s="290" t="s">
        <v>205</v>
      </c>
      <c r="J98" s="290"/>
      <c r="K98" s="290"/>
      <c r="L98" s="47">
        <v>33</v>
      </c>
      <c r="M98" s="262">
        <v>728.49</v>
      </c>
      <c r="N98" s="47">
        <v>100</v>
      </c>
      <c r="O98" s="291">
        <v>728.49</v>
      </c>
      <c r="P98" s="291"/>
      <c r="Q98" s="291"/>
      <c r="R98" s="262">
        <v>0</v>
      </c>
      <c r="S98" s="262">
        <v>728.49</v>
      </c>
      <c r="U98" s="149">
        <f t="shared" si="3"/>
        <v>48325</v>
      </c>
      <c r="V98" s="146">
        <f t="shared" si="4"/>
        <v>18.666666666666668</v>
      </c>
      <c r="W98" s="150">
        <f t="shared" si="5"/>
        <v>14.333333333333332</v>
      </c>
      <c r="X98" s="146">
        <f t="shared" si="6"/>
        <v>14.333333333333332</v>
      </c>
    </row>
    <row r="99" spans="1:24" ht="9.75" customHeight="1" x14ac:dyDescent="0.25">
      <c r="A99" s="288">
        <v>266</v>
      </c>
      <c r="B99" s="288"/>
      <c r="D99" s="258" t="s">
        <v>252</v>
      </c>
      <c r="E99" s="289">
        <v>36341</v>
      </c>
      <c r="F99" s="289"/>
      <c r="G99" s="289"/>
      <c r="H99" s="289"/>
      <c r="I99" s="290" t="s">
        <v>205</v>
      </c>
      <c r="J99" s="290"/>
      <c r="K99" s="290"/>
      <c r="L99" s="47">
        <v>33</v>
      </c>
      <c r="M99" s="262">
        <v>232.84</v>
      </c>
      <c r="N99" s="47">
        <v>100</v>
      </c>
      <c r="O99" s="291">
        <v>124.14</v>
      </c>
      <c r="P99" s="291"/>
      <c r="Q99" s="291"/>
      <c r="R99" s="262">
        <v>7.0600000000000005</v>
      </c>
      <c r="S99" s="262">
        <v>131.19999999999999</v>
      </c>
      <c r="U99" s="149">
        <f t="shared" si="3"/>
        <v>48386</v>
      </c>
      <c r="V99" s="146">
        <f t="shared" si="4"/>
        <v>18.5</v>
      </c>
      <c r="W99" s="150">
        <f t="shared" si="5"/>
        <v>14.5</v>
      </c>
      <c r="X99" s="146">
        <f t="shared" si="6"/>
        <v>14.5</v>
      </c>
    </row>
    <row r="100" spans="1:24" ht="9.75" customHeight="1" x14ac:dyDescent="0.25">
      <c r="A100" s="288">
        <v>270</v>
      </c>
      <c r="B100" s="288"/>
      <c r="D100" s="258" t="s">
        <v>253</v>
      </c>
      <c r="E100" s="289">
        <v>36403</v>
      </c>
      <c r="F100" s="289"/>
      <c r="G100" s="289"/>
      <c r="H100" s="289"/>
      <c r="I100" s="290" t="s">
        <v>205</v>
      </c>
      <c r="J100" s="290"/>
      <c r="K100" s="290"/>
      <c r="L100" s="47">
        <v>33</v>
      </c>
      <c r="M100" s="262">
        <v>182.55</v>
      </c>
      <c r="N100" s="47">
        <v>100</v>
      </c>
      <c r="O100" s="291">
        <v>96.31</v>
      </c>
      <c r="P100" s="291"/>
      <c r="Q100" s="291"/>
      <c r="R100" s="262">
        <v>5.53</v>
      </c>
      <c r="S100" s="262">
        <v>101.84</v>
      </c>
      <c r="U100" s="149">
        <f t="shared" si="3"/>
        <v>48448</v>
      </c>
      <c r="V100" s="146">
        <f t="shared" si="4"/>
        <v>18.333333333333332</v>
      </c>
      <c r="W100" s="150">
        <f t="shared" si="5"/>
        <v>14.666666666666668</v>
      </c>
      <c r="X100" s="146">
        <f t="shared" si="6"/>
        <v>14.666666666666668</v>
      </c>
    </row>
    <row r="101" spans="1:24" ht="9.75" customHeight="1" x14ac:dyDescent="0.25">
      <c r="A101" s="288">
        <v>279</v>
      </c>
      <c r="B101" s="288"/>
      <c r="D101" s="258" t="s">
        <v>254</v>
      </c>
      <c r="E101" s="289">
        <v>36494</v>
      </c>
      <c r="F101" s="289"/>
      <c r="G101" s="289"/>
      <c r="H101" s="289"/>
      <c r="I101" s="290" t="s">
        <v>205</v>
      </c>
      <c r="J101" s="290"/>
      <c r="K101" s="290"/>
      <c r="L101" s="47">
        <v>33</v>
      </c>
      <c r="M101" s="262">
        <v>232.85</v>
      </c>
      <c r="N101" s="47">
        <v>100</v>
      </c>
      <c r="O101" s="291">
        <v>232.85</v>
      </c>
      <c r="P101" s="291"/>
      <c r="Q101" s="291"/>
      <c r="R101" s="262">
        <v>0</v>
      </c>
      <c r="S101" s="262">
        <v>232.85</v>
      </c>
      <c r="U101" s="149">
        <f t="shared" si="3"/>
        <v>48539</v>
      </c>
      <c r="V101" s="146">
        <f t="shared" si="4"/>
        <v>18.083333333333332</v>
      </c>
      <c r="W101" s="150">
        <f t="shared" si="5"/>
        <v>14.916666666666668</v>
      </c>
      <c r="X101" s="146">
        <f t="shared" ref="X101:X142" si="7">IF(W101=0,0,W101)</f>
        <v>14.916666666666668</v>
      </c>
    </row>
    <row r="102" spans="1:24" ht="9.75" customHeight="1" x14ac:dyDescent="0.25">
      <c r="A102" s="288">
        <v>283</v>
      </c>
      <c r="B102" s="288"/>
      <c r="D102" s="258" t="s">
        <v>254</v>
      </c>
      <c r="E102" s="289">
        <v>36525</v>
      </c>
      <c r="F102" s="289"/>
      <c r="G102" s="289"/>
      <c r="H102" s="289"/>
      <c r="I102" s="290" t="s">
        <v>205</v>
      </c>
      <c r="J102" s="290"/>
      <c r="K102" s="290"/>
      <c r="L102" s="47">
        <v>33</v>
      </c>
      <c r="M102" s="262">
        <v>116.42</v>
      </c>
      <c r="N102" s="47">
        <v>100</v>
      </c>
      <c r="O102" s="291">
        <v>116.42</v>
      </c>
      <c r="P102" s="291"/>
      <c r="Q102" s="291"/>
      <c r="R102" s="262">
        <v>0</v>
      </c>
      <c r="S102" s="262">
        <v>116.42</v>
      </c>
      <c r="U102" s="149">
        <f t="shared" si="3"/>
        <v>48570</v>
      </c>
      <c r="V102" s="146">
        <f t="shared" si="4"/>
        <v>18</v>
      </c>
      <c r="W102" s="150">
        <f t="shared" si="5"/>
        <v>15</v>
      </c>
      <c r="X102" s="146">
        <f t="shared" si="7"/>
        <v>15</v>
      </c>
    </row>
    <row r="103" spans="1:24" ht="9.75" customHeight="1" x14ac:dyDescent="0.25">
      <c r="A103" s="288">
        <v>288</v>
      </c>
      <c r="B103" s="288"/>
      <c r="D103" s="258" t="s">
        <v>74</v>
      </c>
      <c r="E103" s="289">
        <v>36556</v>
      </c>
      <c r="F103" s="289"/>
      <c r="G103" s="289"/>
      <c r="H103" s="289"/>
      <c r="I103" s="290" t="s">
        <v>205</v>
      </c>
      <c r="J103" s="290"/>
      <c r="K103" s="290"/>
      <c r="L103" s="47">
        <v>33.299999999999997</v>
      </c>
      <c r="M103" s="262">
        <v>263.85000000000002</v>
      </c>
      <c r="N103" s="47">
        <v>100</v>
      </c>
      <c r="O103" s="291">
        <v>134.63999999999999</v>
      </c>
      <c r="P103" s="291"/>
      <c r="Q103" s="291"/>
      <c r="R103" s="262">
        <v>7.92</v>
      </c>
      <c r="S103" s="262">
        <v>142.56</v>
      </c>
      <c r="U103" s="149">
        <f t="shared" si="3"/>
        <v>48710.5</v>
      </c>
      <c r="V103" s="146">
        <f t="shared" si="4"/>
        <v>17.916666666666668</v>
      </c>
      <c r="W103" s="150">
        <f t="shared" si="5"/>
        <v>15.383333333333329</v>
      </c>
      <c r="X103" s="146">
        <f t="shared" si="7"/>
        <v>15.383333333333329</v>
      </c>
    </row>
    <row r="104" spans="1:24" ht="9.75" customHeight="1" x14ac:dyDescent="0.25">
      <c r="A104" s="288">
        <v>298</v>
      </c>
      <c r="B104" s="288"/>
      <c r="D104" s="258" t="s">
        <v>74</v>
      </c>
      <c r="E104" s="289">
        <v>36646</v>
      </c>
      <c r="F104" s="289"/>
      <c r="G104" s="289"/>
      <c r="H104" s="289"/>
      <c r="I104" s="290" t="s">
        <v>205</v>
      </c>
      <c r="J104" s="290"/>
      <c r="K104" s="290"/>
      <c r="L104" s="47">
        <v>33.299999999999997</v>
      </c>
      <c r="M104" s="262">
        <v>292.45</v>
      </c>
      <c r="N104" s="47">
        <v>100</v>
      </c>
      <c r="O104" s="291">
        <v>147.07</v>
      </c>
      <c r="P104" s="291"/>
      <c r="Q104" s="291"/>
      <c r="R104" s="262">
        <v>8.7799999999999994</v>
      </c>
      <c r="S104" s="262">
        <v>155.85</v>
      </c>
      <c r="U104" s="149">
        <f t="shared" si="3"/>
        <v>48800.5</v>
      </c>
      <c r="V104" s="146">
        <f t="shared" si="4"/>
        <v>17.666666666666668</v>
      </c>
      <c r="W104" s="150">
        <f t="shared" si="5"/>
        <v>15.633333333333329</v>
      </c>
      <c r="X104" s="146">
        <f t="shared" si="7"/>
        <v>15.633333333333329</v>
      </c>
    </row>
    <row r="105" spans="1:24" ht="9.75" customHeight="1" x14ac:dyDescent="0.25">
      <c r="A105" s="288">
        <v>303</v>
      </c>
      <c r="B105" s="288"/>
      <c r="D105" s="258" t="s">
        <v>74</v>
      </c>
      <c r="E105" s="289">
        <v>36677</v>
      </c>
      <c r="F105" s="289"/>
      <c r="G105" s="289"/>
      <c r="H105" s="289"/>
      <c r="I105" s="290" t="s">
        <v>205</v>
      </c>
      <c r="J105" s="290"/>
      <c r="K105" s="290"/>
      <c r="L105" s="47">
        <v>33.299999999999997</v>
      </c>
      <c r="M105" s="262">
        <v>337.18</v>
      </c>
      <c r="N105" s="47">
        <v>100</v>
      </c>
      <c r="O105" s="291">
        <v>168.83</v>
      </c>
      <c r="P105" s="291"/>
      <c r="Q105" s="291"/>
      <c r="R105" s="262">
        <v>10.130000000000001</v>
      </c>
      <c r="S105" s="262">
        <v>178.96</v>
      </c>
      <c r="U105" s="149">
        <f t="shared" si="3"/>
        <v>48831.5</v>
      </c>
      <c r="V105" s="146">
        <f t="shared" si="4"/>
        <v>17.583333333333332</v>
      </c>
      <c r="W105" s="150">
        <f t="shared" si="5"/>
        <v>15.716666666666665</v>
      </c>
      <c r="X105" s="146">
        <f t="shared" si="7"/>
        <v>15.716666666666665</v>
      </c>
    </row>
    <row r="106" spans="1:24" ht="9.75" customHeight="1" x14ac:dyDescent="0.25">
      <c r="A106" s="288">
        <v>311</v>
      </c>
      <c r="B106" s="288"/>
      <c r="D106" s="258" t="s">
        <v>74</v>
      </c>
      <c r="E106" s="289">
        <v>36738</v>
      </c>
      <c r="F106" s="289"/>
      <c r="G106" s="289"/>
      <c r="H106" s="289"/>
      <c r="I106" s="290" t="s">
        <v>205</v>
      </c>
      <c r="J106" s="290"/>
      <c r="K106" s="290"/>
      <c r="L106" s="47">
        <v>33.299999999999997</v>
      </c>
      <c r="M106" s="262">
        <v>227.18</v>
      </c>
      <c r="N106" s="47">
        <v>100</v>
      </c>
      <c r="O106" s="291">
        <v>112.53</v>
      </c>
      <c r="P106" s="291"/>
      <c r="Q106" s="291"/>
      <c r="R106" s="262">
        <v>6.82</v>
      </c>
      <c r="S106" s="262">
        <v>119.35000000000001</v>
      </c>
      <c r="U106" s="149">
        <f t="shared" si="3"/>
        <v>48892.5</v>
      </c>
      <c r="V106" s="146">
        <f t="shared" si="4"/>
        <v>17.416666666666668</v>
      </c>
      <c r="W106" s="150">
        <f t="shared" si="5"/>
        <v>15.883333333333329</v>
      </c>
      <c r="X106" s="146">
        <f t="shared" si="7"/>
        <v>15.883333333333329</v>
      </c>
    </row>
    <row r="107" spans="1:24" ht="9.75" customHeight="1" x14ac:dyDescent="0.25">
      <c r="A107" s="288">
        <v>322</v>
      </c>
      <c r="B107" s="288"/>
      <c r="D107" s="258" t="s">
        <v>74</v>
      </c>
      <c r="E107" s="289">
        <v>36799</v>
      </c>
      <c r="F107" s="289"/>
      <c r="G107" s="289"/>
      <c r="H107" s="289"/>
      <c r="I107" s="290" t="s">
        <v>205</v>
      </c>
      <c r="J107" s="290"/>
      <c r="K107" s="290"/>
      <c r="L107" s="47">
        <v>33.299999999999997</v>
      </c>
      <c r="M107" s="262">
        <v>497.19</v>
      </c>
      <c r="N107" s="47">
        <v>100</v>
      </c>
      <c r="O107" s="291">
        <v>243.86</v>
      </c>
      <c r="P107" s="291"/>
      <c r="Q107" s="291"/>
      <c r="R107" s="262">
        <v>14.93</v>
      </c>
      <c r="S107" s="262">
        <v>258.79000000000002</v>
      </c>
      <c r="U107" s="149">
        <f t="shared" si="3"/>
        <v>48953.5</v>
      </c>
      <c r="V107" s="146">
        <f t="shared" si="4"/>
        <v>17.25</v>
      </c>
      <c r="W107" s="150">
        <f t="shared" si="5"/>
        <v>16.049999999999997</v>
      </c>
      <c r="X107" s="146">
        <f t="shared" si="7"/>
        <v>16.049999999999997</v>
      </c>
    </row>
    <row r="108" spans="1:24" ht="9.75" customHeight="1" x14ac:dyDescent="0.25">
      <c r="A108" s="288">
        <v>326</v>
      </c>
      <c r="B108" s="288"/>
      <c r="D108" s="258" t="s">
        <v>74</v>
      </c>
      <c r="E108" s="289">
        <v>36830</v>
      </c>
      <c r="F108" s="289"/>
      <c r="G108" s="289"/>
      <c r="H108" s="289"/>
      <c r="I108" s="290" t="s">
        <v>205</v>
      </c>
      <c r="J108" s="290"/>
      <c r="K108" s="290"/>
      <c r="L108" s="47">
        <v>33.299999999999997</v>
      </c>
      <c r="M108" s="262">
        <v>402.37</v>
      </c>
      <c r="N108" s="47">
        <v>100</v>
      </c>
      <c r="O108" s="291">
        <v>196.3</v>
      </c>
      <c r="P108" s="291"/>
      <c r="Q108" s="291"/>
      <c r="R108" s="262">
        <v>12.08</v>
      </c>
      <c r="S108" s="262">
        <v>208.38</v>
      </c>
      <c r="U108" s="149">
        <f t="shared" ref="U108:U139" si="8">E108+(L108*365)</f>
        <v>48984.5</v>
      </c>
      <c r="V108" s="146">
        <f t="shared" ref="V108:V139" si="9">YEARFRAC(E108,$V$14)</f>
        <v>17.166666666666668</v>
      </c>
      <c r="W108" s="150">
        <f t="shared" ref="W108:W139" si="10">IF(V108&gt;L108,0,L108-V108)</f>
        <v>16.133333333333329</v>
      </c>
      <c r="X108" s="146">
        <f t="shared" si="7"/>
        <v>16.133333333333329</v>
      </c>
    </row>
    <row r="109" spans="1:24" ht="9.75" customHeight="1" x14ac:dyDescent="0.25">
      <c r="A109" s="288">
        <v>332</v>
      </c>
      <c r="B109" s="288"/>
      <c r="D109" s="258" t="s">
        <v>74</v>
      </c>
      <c r="E109" s="289">
        <v>36860</v>
      </c>
      <c r="F109" s="289"/>
      <c r="G109" s="289"/>
      <c r="H109" s="289"/>
      <c r="I109" s="290" t="s">
        <v>205</v>
      </c>
      <c r="J109" s="290"/>
      <c r="K109" s="290"/>
      <c r="L109" s="47">
        <v>33.299999999999997</v>
      </c>
      <c r="M109" s="262">
        <v>674.1</v>
      </c>
      <c r="N109" s="47">
        <v>100</v>
      </c>
      <c r="O109" s="291">
        <v>327.20999999999998</v>
      </c>
      <c r="P109" s="291"/>
      <c r="Q109" s="291"/>
      <c r="R109" s="262">
        <v>20.239999999999998</v>
      </c>
      <c r="S109" s="262">
        <v>347.45</v>
      </c>
      <c r="U109" s="149">
        <f t="shared" si="8"/>
        <v>49014.5</v>
      </c>
      <c r="V109" s="146">
        <f t="shared" si="9"/>
        <v>17.083333333333332</v>
      </c>
      <c r="W109" s="150">
        <f t="shared" si="10"/>
        <v>16.216666666666665</v>
      </c>
      <c r="X109" s="146">
        <f t="shared" si="7"/>
        <v>16.216666666666665</v>
      </c>
    </row>
    <row r="110" spans="1:24" ht="9.75" customHeight="1" x14ac:dyDescent="0.25">
      <c r="A110" s="288">
        <v>351</v>
      </c>
      <c r="B110" s="288"/>
      <c r="D110" s="258" t="s">
        <v>74</v>
      </c>
      <c r="E110" s="289">
        <v>36981</v>
      </c>
      <c r="F110" s="289"/>
      <c r="G110" s="289"/>
      <c r="H110" s="289"/>
      <c r="I110" s="290" t="s">
        <v>205</v>
      </c>
      <c r="J110" s="290"/>
      <c r="K110" s="290"/>
      <c r="L110" s="47">
        <v>33</v>
      </c>
      <c r="M110" s="262">
        <v>1540.29</v>
      </c>
      <c r="N110" s="47">
        <v>100</v>
      </c>
      <c r="O110" s="291">
        <v>739.1</v>
      </c>
      <c r="P110" s="291"/>
      <c r="Q110" s="291"/>
      <c r="R110" s="262">
        <v>46.68</v>
      </c>
      <c r="S110" s="262">
        <v>785.78</v>
      </c>
      <c r="U110" s="149">
        <f t="shared" si="8"/>
        <v>49026</v>
      </c>
      <c r="V110" s="146">
        <f t="shared" si="9"/>
        <v>16.75</v>
      </c>
      <c r="W110" s="150">
        <f t="shared" si="10"/>
        <v>16.25</v>
      </c>
      <c r="X110" s="146">
        <f t="shared" si="7"/>
        <v>16.25</v>
      </c>
    </row>
    <row r="111" spans="1:24" ht="9.75" customHeight="1" x14ac:dyDescent="0.25">
      <c r="A111" s="288">
        <v>356</v>
      </c>
      <c r="B111" s="288"/>
      <c r="D111" s="258" t="s">
        <v>74</v>
      </c>
      <c r="E111" s="289">
        <v>37011</v>
      </c>
      <c r="F111" s="289"/>
      <c r="G111" s="289"/>
      <c r="H111" s="289"/>
      <c r="I111" s="290" t="s">
        <v>205</v>
      </c>
      <c r="J111" s="290"/>
      <c r="K111" s="290"/>
      <c r="L111" s="47">
        <v>33</v>
      </c>
      <c r="M111" s="262">
        <v>271.77999999999997</v>
      </c>
      <c r="N111" s="47">
        <v>100</v>
      </c>
      <c r="O111" s="291">
        <v>129.78</v>
      </c>
      <c r="P111" s="291"/>
      <c r="Q111" s="291"/>
      <c r="R111" s="262">
        <v>8.24</v>
      </c>
      <c r="S111" s="262">
        <v>138.02000000000001</v>
      </c>
      <c r="U111" s="149">
        <f t="shared" si="8"/>
        <v>49056</v>
      </c>
      <c r="V111" s="146">
        <f t="shared" si="9"/>
        <v>16.666666666666668</v>
      </c>
      <c r="W111" s="150">
        <f t="shared" si="10"/>
        <v>16.333333333333332</v>
      </c>
      <c r="X111" s="146">
        <f t="shared" si="7"/>
        <v>16.333333333333332</v>
      </c>
    </row>
    <row r="112" spans="1:24" ht="9.75" customHeight="1" x14ac:dyDescent="0.25">
      <c r="A112" s="288">
        <v>363</v>
      </c>
      <c r="B112" s="288"/>
      <c r="D112" s="258" t="s">
        <v>74</v>
      </c>
      <c r="E112" s="289">
        <v>37072</v>
      </c>
      <c r="F112" s="289"/>
      <c r="G112" s="289"/>
      <c r="H112" s="289"/>
      <c r="I112" s="290" t="s">
        <v>205</v>
      </c>
      <c r="J112" s="290"/>
      <c r="K112" s="290"/>
      <c r="L112" s="47">
        <v>33</v>
      </c>
      <c r="M112" s="262">
        <v>570.26</v>
      </c>
      <c r="N112" s="47">
        <v>100</v>
      </c>
      <c r="O112" s="291">
        <v>269.27999999999997</v>
      </c>
      <c r="P112" s="291"/>
      <c r="Q112" s="291"/>
      <c r="R112" s="262">
        <v>17.28</v>
      </c>
      <c r="S112" s="262">
        <v>286.56</v>
      </c>
      <c r="U112" s="149">
        <f t="shared" si="8"/>
        <v>49117</v>
      </c>
      <c r="V112" s="146">
        <f t="shared" si="9"/>
        <v>16.5</v>
      </c>
      <c r="W112" s="150">
        <f t="shared" si="10"/>
        <v>16.5</v>
      </c>
      <c r="X112" s="146">
        <f t="shared" si="7"/>
        <v>16.5</v>
      </c>
    </row>
    <row r="113" spans="1:24" ht="9.75" customHeight="1" x14ac:dyDescent="0.25">
      <c r="A113" s="288">
        <v>367</v>
      </c>
      <c r="B113" s="288"/>
      <c r="D113" s="258" t="s">
        <v>255</v>
      </c>
      <c r="E113" s="289">
        <v>37103</v>
      </c>
      <c r="F113" s="289"/>
      <c r="G113" s="289"/>
      <c r="H113" s="289"/>
      <c r="I113" s="290" t="s">
        <v>205</v>
      </c>
      <c r="J113" s="290"/>
      <c r="K113" s="290"/>
      <c r="L113" s="47">
        <v>33</v>
      </c>
      <c r="M113" s="262">
        <v>42.83</v>
      </c>
      <c r="N113" s="47">
        <v>100</v>
      </c>
      <c r="O113" s="291">
        <v>20.149999999999999</v>
      </c>
      <c r="P113" s="291"/>
      <c r="Q113" s="291"/>
      <c r="R113" s="262">
        <v>1.3</v>
      </c>
      <c r="S113" s="262">
        <v>21.45</v>
      </c>
      <c r="U113" s="149">
        <f t="shared" si="8"/>
        <v>49148</v>
      </c>
      <c r="V113" s="146">
        <f t="shared" si="9"/>
        <v>16.416666666666668</v>
      </c>
      <c r="W113" s="150">
        <f t="shared" si="10"/>
        <v>16.583333333333332</v>
      </c>
      <c r="X113" s="146">
        <f t="shared" si="7"/>
        <v>16.583333333333332</v>
      </c>
    </row>
    <row r="114" spans="1:24" ht="9.75" customHeight="1" x14ac:dyDescent="0.25">
      <c r="A114" s="288">
        <v>372</v>
      </c>
      <c r="B114" s="288"/>
      <c r="D114" s="258" t="s">
        <v>74</v>
      </c>
      <c r="E114" s="289">
        <v>37134</v>
      </c>
      <c r="F114" s="289"/>
      <c r="G114" s="289"/>
      <c r="H114" s="289"/>
      <c r="I114" s="290" t="s">
        <v>205</v>
      </c>
      <c r="J114" s="290"/>
      <c r="K114" s="290"/>
      <c r="L114" s="47">
        <v>33</v>
      </c>
      <c r="M114" s="262">
        <v>456.59000000000003</v>
      </c>
      <c r="N114" s="47">
        <v>100</v>
      </c>
      <c r="O114" s="291">
        <v>213.37</v>
      </c>
      <c r="P114" s="291"/>
      <c r="Q114" s="291"/>
      <c r="R114" s="262">
        <v>13.84</v>
      </c>
      <c r="S114" s="262">
        <v>227.21</v>
      </c>
      <c r="U114" s="149">
        <f t="shared" si="8"/>
        <v>49179</v>
      </c>
      <c r="V114" s="146">
        <f t="shared" si="9"/>
        <v>16.333333333333332</v>
      </c>
      <c r="W114" s="150">
        <f t="shared" si="10"/>
        <v>16.666666666666668</v>
      </c>
      <c r="X114" s="146">
        <f t="shared" si="7"/>
        <v>16.666666666666668</v>
      </c>
    </row>
    <row r="115" spans="1:24" ht="9.75" customHeight="1" x14ac:dyDescent="0.25">
      <c r="A115" s="288">
        <v>378</v>
      </c>
      <c r="B115" s="288"/>
      <c r="D115" s="258" t="s">
        <v>74</v>
      </c>
      <c r="E115" s="289">
        <v>37195</v>
      </c>
      <c r="F115" s="289"/>
      <c r="G115" s="289"/>
      <c r="H115" s="289"/>
      <c r="I115" s="290" t="s">
        <v>205</v>
      </c>
      <c r="J115" s="290"/>
      <c r="K115" s="290"/>
      <c r="L115" s="47">
        <v>33</v>
      </c>
      <c r="M115" s="262">
        <v>273.3</v>
      </c>
      <c r="N115" s="47">
        <v>100</v>
      </c>
      <c r="O115" s="291">
        <v>126.27</v>
      </c>
      <c r="P115" s="291"/>
      <c r="Q115" s="291"/>
      <c r="R115" s="262">
        <v>8.2799999999999994</v>
      </c>
      <c r="S115" s="262">
        <v>134.55000000000001</v>
      </c>
      <c r="U115" s="149">
        <f t="shared" si="8"/>
        <v>49240</v>
      </c>
      <c r="V115" s="146">
        <f t="shared" si="9"/>
        <v>16.166666666666668</v>
      </c>
      <c r="W115" s="150">
        <f t="shared" si="10"/>
        <v>16.833333333333332</v>
      </c>
      <c r="X115" s="146">
        <f t="shared" si="7"/>
        <v>16.833333333333332</v>
      </c>
    </row>
    <row r="116" spans="1:24" ht="9.75" customHeight="1" x14ac:dyDescent="0.25">
      <c r="A116" s="288">
        <v>383</v>
      </c>
      <c r="B116" s="288"/>
      <c r="D116" s="258" t="s">
        <v>74</v>
      </c>
      <c r="E116" s="289">
        <v>37225</v>
      </c>
      <c r="F116" s="289"/>
      <c r="G116" s="289"/>
      <c r="H116" s="289"/>
      <c r="I116" s="290" t="s">
        <v>205</v>
      </c>
      <c r="J116" s="290"/>
      <c r="K116" s="290"/>
      <c r="L116" s="47">
        <v>33</v>
      </c>
      <c r="M116" s="262">
        <v>73.33</v>
      </c>
      <c r="N116" s="47">
        <v>100</v>
      </c>
      <c r="O116" s="291">
        <v>33.67</v>
      </c>
      <c r="P116" s="291"/>
      <c r="Q116" s="291"/>
      <c r="R116" s="262">
        <v>2.2200000000000002</v>
      </c>
      <c r="S116" s="262">
        <v>35.89</v>
      </c>
      <c r="U116" s="149">
        <f t="shared" si="8"/>
        <v>49270</v>
      </c>
      <c r="V116" s="146">
        <f t="shared" si="9"/>
        <v>16.083333333333332</v>
      </c>
      <c r="W116" s="150">
        <f t="shared" si="10"/>
        <v>16.916666666666668</v>
      </c>
      <c r="X116" s="146">
        <f t="shared" si="7"/>
        <v>16.916666666666668</v>
      </c>
    </row>
    <row r="117" spans="1:24" ht="9.75" customHeight="1" x14ac:dyDescent="0.25">
      <c r="A117" s="288">
        <v>395</v>
      </c>
      <c r="B117" s="288"/>
      <c r="D117" s="258" t="s">
        <v>74</v>
      </c>
      <c r="E117" s="289">
        <v>37287</v>
      </c>
      <c r="F117" s="289"/>
      <c r="G117" s="289"/>
      <c r="H117" s="289"/>
      <c r="I117" s="290" t="s">
        <v>205</v>
      </c>
      <c r="J117" s="290"/>
      <c r="K117" s="290"/>
      <c r="L117" s="47">
        <v>33</v>
      </c>
      <c r="M117" s="262">
        <v>472.64</v>
      </c>
      <c r="N117" s="47">
        <v>100</v>
      </c>
      <c r="O117" s="291">
        <v>214.8</v>
      </c>
      <c r="P117" s="291"/>
      <c r="Q117" s="291"/>
      <c r="R117" s="262">
        <v>14.32</v>
      </c>
      <c r="S117" s="262">
        <v>229.12</v>
      </c>
      <c r="U117" s="149">
        <f t="shared" si="8"/>
        <v>49332</v>
      </c>
      <c r="V117" s="146">
        <f t="shared" si="9"/>
        <v>15.916666666666666</v>
      </c>
      <c r="W117" s="150">
        <f t="shared" si="10"/>
        <v>17.083333333333336</v>
      </c>
      <c r="X117" s="146">
        <f t="shared" si="7"/>
        <v>17.083333333333336</v>
      </c>
    </row>
    <row r="118" spans="1:24" ht="9.75" customHeight="1" x14ac:dyDescent="0.25">
      <c r="A118" s="288">
        <v>401</v>
      </c>
      <c r="B118" s="288"/>
      <c r="D118" s="258" t="s">
        <v>74</v>
      </c>
      <c r="E118" s="289">
        <v>37346</v>
      </c>
      <c r="F118" s="289"/>
      <c r="G118" s="289"/>
      <c r="H118" s="289"/>
      <c r="I118" s="290" t="s">
        <v>205</v>
      </c>
      <c r="J118" s="290"/>
      <c r="K118" s="290"/>
      <c r="L118" s="47">
        <v>33</v>
      </c>
      <c r="M118" s="262">
        <v>946.51</v>
      </c>
      <c r="N118" s="47">
        <v>100</v>
      </c>
      <c r="O118" s="291">
        <v>425.42</v>
      </c>
      <c r="P118" s="291"/>
      <c r="Q118" s="291"/>
      <c r="R118" s="262">
        <v>28.68</v>
      </c>
      <c r="S118" s="262">
        <v>454.1</v>
      </c>
      <c r="U118" s="149">
        <f t="shared" si="8"/>
        <v>49391</v>
      </c>
      <c r="V118" s="146">
        <f t="shared" si="9"/>
        <v>15.75</v>
      </c>
      <c r="W118" s="150">
        <f t="shared" si="10"/>
        <v>17.25</v>
      </c>
      <c r="X118" s="146">
        <f t="shared" si="7"/>
        <v>17.25</v>
      </c>
    </row>
    <row r="119" spans="1:24" ht="9.75" customHeight="1" x14ac:dyDescent="0.25">
      <c r="A119" s="288">
        <v>418</v>
      </c>
      <c r="B119" s="288"/>
      <c r="D119" s="258" t="s">
        <v>234</v>
      </c>
      <c r="E119" s="289">
        <v>37468</v>
      </c>
      <c r="F119" s="289"/>
      <c r="G119" s="289"/>
      <c r="H119" s="289"/>
      <c r="I119" s="290" t="s">
        <v>205</v>
      </c>
      <c r="J119" s="290"/>
      <c r="K119" s="290"/>
      <c r="L119" s="47">
        <v>33</v>
      </c>
      <c r="M119" s="262">
        <v>279.45999999999998</v>
      </c>
      <c r="N119" s="47">
        <v>100</v>
      </c>
      <c r="O119" s="291">
        <v>122.81</v>
      </c>
      <c r="P119" s="291"/>
      <c r="Q119" s="291"/>
      <c r="R119" s="262">
        <v>8.4700000000000006</v>
      </c>
      <c r="S119" s="262">
        <v>131.28</v>
      </c>
      <c r="U119" s="149">
        <f t="shared" si="8"/>
        <v>49513</v>
      </c>
      <c r="V119" s="146">
        <f t="shared" si="9"/>
        <v>15.416666666666666</v>
      </c>
      <c r="W119" s="150">
        <f t="shared" si="10"/>
        <v>17.583333333333336</v>
      </c>
      <c r="X119" s="146">
        <f t="shared" si="7"/>
        <v>17.583333333333336</v>
      </c>
    </row>
    <row r="120" spans="1:24" ht="9.75" customHeight="1" x14ac:dyDescent="0.25">
      <c r="A120" s="288">
        <v>422</v>
      </c>
      <c r="B120" s="288"/>
      <c r="D120" s="258" t="s">
        <v>74</v>
      </c>
      <c r="E120" s="289">
        <v>37499</v>
      </c>
      <c r="F120" s="289"/>
      <c r="G120" s="289"/>
      <c r="H120" s="289"/>
      <c r="I120" s="290" t="s">
        <v>205</v>
      </c>
      <c r="J120" s="290"/>
      <c r="K120" s="290"/>
      <c r="L120" s="47">
        <v>33</v>
      </c>
      <c r="M120" s="262">
        <v>709.88</v>
      </c>
      <c r="N120" s="47">
        <v>100</v>
      </c>
      <c r="O120" s="291">
        <v>310.10000000000002</v>
      </c>
      <c r="P120" s="291"/>
      <c r="Q120" s="291"/>
      <c r="R120" s="262">
        <v>21.51</v>
      </c>
      <c r="S120" s="262">
        <v>331.61</v>
      </c>
      <c r="U120" s="149">
        <f t="shared" si="8"/>
        <v>49544</v>
      </c>
      <c r="V120" s="146">
        <f t="shared" si="9"/>
        <v>15.333333333333334</v>
      </c>
      <c r="W120" s="150">
        <f t="shared" si="10"/>
        <v>17.666666666666664</v>
      </c>
      <c r="X120" s="146">
        <f t="shared" si="7"/>
        <v>17.666666666666664</v>
      </c>
    </row>
    <row r="121" spans="1:24" ht="9.75" customHeight="1" x14ac:dyDescent="0.25">
      <c r="A121" s="288">
        <v>427</v>
      </c>
      <c r="B121" s="288"/>
      <c r="D121" s="258" t="s">
        <v>74</v>
      </c>
      <c r="E121" s="289">
        <v>37529</v>
      </c>
      <c r="F121" s="289"/>
      <c r="G121" s="289"/>
      <c r="H121" s="289"/>
      <c r="I121" s="290" t="s">
        <v>205</v>
      </c>
      <c r="J121" s="290"/>
      <c r="K121" s="290"/>
      <c r="L121" s="47">
        <v>33</v>
      </c>
      <c r="M121" s="262">
        <v>80.63</v>
      </c>
      <c r="N121" s="47">
        <v>100</v>
      </c>
      <c r="O121" s="291">
        <v>34.97</v>
      </c>
      <c r="P121" s="291"/>
      <c r="Q121" s="291"/>
      <c r="R121" s="262">
        <v>2.44</v>
      </c>
      <c r="S121" s="262">
        <v>37.409999999999997</v>
      </c>
      <c r="U121" s="149">
        <f t="shared" si="8"/>
        <v>49574</v>
      </c>
      <c r="V121" s="146">
        <f t="shared" si="9"/>
        <v>15.25</v>
      </c>
      <c r="W121" s="150">
        <f t="shared" si="10"/>
        <v>17.75</v>
      </c>
      <c r="X121" s="146">
        <f t="shared" si="7"/>
        <v>17.75</v>
      </c>
    </row>
    <row r="122" spans="1:24" ht="9.75" customHeight="1" x14ac:dyDescent="0.25">
      <c r="A122" s="288">
        <v>432</v>
      </c>
      <c r="B122" s="288"/>
      <c r="D122" s="258" t="s">
        <v>74</v>
      </c>
      <c r="E122" s="289">
        <v>37560</v>
      </c>
      <c r="F122" s="289"/>
      <c r="G122" s="289"/>
      <c r="H122" s="289"/>
      <c r="I122" s="290" t="s">
        <v>205</v>
      </c>
      <c r="J122" s="290"/>
      <c r="K122" s="290"/>
      <c r="L122" s="47">
        <v>33</v>
      </c>
      <c r="M122" s="262">
        <v>40.6</v>
      </c>
      <c r="N122" s="47">
        <v>100</v>
      </c>
      <c r="O122" s="291">
        <v>17.53</v>
      </c>
      <c r="P122" s="291"/>
      <c r="Q122" s="291"/>
      <c r="R122" s="262">
        <v>1.23</v>
      </c>
      <c r="S122" s="262">
        <v>18.760000000000002</v>
      </c>
      <c r="U122" s="149">
        <f t="shared" si="8"/>
        <v>49605</v>
      </c>
      <c r="V122" s="146">
        <f t="shared" si="9"/>
        <v>15.166666666666666</v>
      </c>
      <c r="W122" s="150">
        <f t="shared" si="10"/>
        <v>17.833333333333336</v>
      </c>
      <c r="X122" s="146">
        <f t="shared" si="7"/>
        <v>17.833333333333336</v>
      </c>
    </row>
    <row r="123" spans="1:24" ht="9.75" customHeight="1" x14ac:dyDescent="0.25">
      <c r="A123" s="288">
        <v>441</v>
      </c>
      <c r="B123" s="288"/>
      <c r="D123" s="258" t="s">
        <v>74</v>
      </c>
      <c r="E123" s="289">
        <v>37590</v>
      </c>
      <c r="F123" s="289"/>
      <c r="G123" s="289"/>
      <c r="H123" s="289"/>
      <c r="I123" s="290" t="s">
        <v>205</v>
      </c>
      <c r="J123" s="290"/>
      <c r="K123" s="290"/>
      <c r="L123" s="47">
        <v>33</v>
      </c>
      <c r="M123" s="262">
        <v>239.32</v>
      </c>
      <c r="N123" s="47">
        <v>100</v>
      </c>
      <c r="O123" s="291">
        <v>102.71000000000001</v>
      </c>
      <c r="P123" s="291"/>
      <c r="Q123" s="291"/>
      <c r="R123" s="262">
        <v>7.25</v>
      </c>
      <c r="S123" s="262">
        <v>109.96000000000001</v>
      </c>
      <c r="U123" s="149">
        <f t="shared" si="8"/>
        <v>49635</v>
      </c>
      <c r="V123" s="146">
        <f t="shared" si="9"/>
        <v>15.083333333333334</v>
      </c>
      <c r="W123" s="150">
        <f t="shared" si="10"/>
        <v>17.916666666666664</v>
      </c>
      <c r="X123" s="146">
        <f t="shared" si="7"/>
        <v>17.916666666666664</v>
      </c>
    </row>
    <row r="124" spans="1:24" ht="9.75" customHeight="1" x14ac:dyDescent="0.25">
      <c r="A124" s="288">
        <v>442</v>
      </c>
      <c r="B124" s="288"/>
      <c r="D124" s="258" t="s">
        <v>74</v>
      </c>
      <c r="E124" s="289">
        <v>37621</v>
      </c>
      <c r="F124" s="289"/>
      <c r="G124" s="289"/>
      <c r="H124" s="289"/>
      <c r="I124" s="290" t="s">
        <v>205</v>
      </c>
      <c r="J124" s="290"/>
      <c r="K124" s="290"/>
      <c r="L124" s="47">
        <v>33</v>
      </c>
      <c r="M124" s="262">
        <v>243.93</v>
      </c>
      <c r="N124" s="47">
        <v>100</v>
      </c>
      <c r="O124" s="291">
        <v>104.08</v>
      </c>
      <c r="P124" s="291"/>
      <c r="Q124" s="291"/>
      <c r="R124" s="262">
        <v>7.3900000000000006</v>
      </c>
      <c r="S124" s="262">
        <v>111.47</v>
      </c>
      <c r="U124" s="149">
        <f t="shared" si="8"/>
        <v>49666</v>
      </c>
      <c r="V124" s="146">
        <f t="shared" si="9"/>
        <v>15</v>
      </c>
      <c r="W124" s="150">
        <f t="shared" si="10"/>
        <v>18</v>
      </c>
      <c r="X124" s="146">
        <f t="shared" si="7"/>
        <v>18</v>
      </c>
    </row>
    <row r="125" spans="1:24" ht="9.75" customHeight="1" x14ac:dyDescent="0.25">
      <c r="A125" s="288">
        <v>456</v>
      </c>
      <c r="B125" s="288"/>
      <c r="D125" s="258" t="s">
        <v>234</v>
      </c>
      <c r="E125" s="289">
        <v>37656</v>
      </c>
      <c r="F125" s="289"/>
      <c r="G125" s="289"/>
      <c r="H125" s="289"/>
      <c r="I125" s="290" t="s">
        <v>205</v>
      </c>
      <c r="J125" s="290"/>
      <c r="K125" s="290"/>
      <c r="L125" s="47">
        <v>33</v>
      </c>
      <c r="M125" s="262">
        <v>220.64000000000001</v>
      </c>
      <c r="N125" s="47">
        <v>100</v>
      </c>
      <c r="O125" s="291">
        <v>93.100000000000009</v>
      </c>
      <c r="P125" s="291"/>
      <c r="Q125" s="291"/>
      <c r="R125" s="262">
        <v>6.69</v>
      </c>
      <c r="S125" s="262">
        <v>99.79</v>
      </c>
      <c r="U125" s="149">
        <f t="shared" si="8"/>
        <v>49701</v>
      </c>
      <c r="V125" s="146">
        <f t="shared" si="9"/>
        <v>14.908333333333333</v>
      </c>
      <c r="W125" s="150">
        <f t="shared" si="10"/>
        <v>18.091666666666669</v>
      </c>
      <c r="X125" s="146">
        <f t="shared" si="7"/>
        <v>18.091666666666669</v>
      </c>
    </row>
    <row r="126" spans="1:24" ht="9.75" customHeight="1" x14ac:dyDescent="0.25">
      <c r="A126" s="288">
        <v>457</v>
      </c>
      <c r="B126" s="288"/>
      <c r="D126" s="258" t="s">
        <v>234</v>
      </c>
      <c r="E126" s="289">
        <v>37677</v>
      </c>
      <c r="F126" s="289"/>
      <c r="G126" s="289"/>
      <c r="H126" s="289"/>
      <c r="I126" s="290" t="s">
        <v>205</v>
      </c>
      <c r="J126" s="290"/>
      <c r="K126" s="290"/>
      <c r="L126" s="47">
        <v>33</v>
      </c>
      <c r="M126" s="262">
        <v>43.24</v>
      </c>
      <c r="N126" s="47">
        <v>100</v>
      </c>
      <c r="O126" s="291">
        <v>18.23</v>
      </c>
      <c r="P126" s="291"/>
      <c r="Q126" s="291"/>
      <c r="R126" s="262">
        <v>1.31</v>
      </c>
      <c r="S126" s="262">
        <v>19.54</v>
      </c>
      <c r="U126" s="149">
        <f t="shared" si="8"/>
        <v>49722</v>
      </c>
      <c r="V126" s="146">
        <f t="shared" si="9"/>
        <v>14.85</v>
      </c>
      <c r="W126" s="150">
        <f t="shared" si="10"/>
        <v>18.149999999999999</v>
      </c>
      <c r="X126" s="146">
        <f t="shared" si="7"/>
        <v>18.149999999999999</v>
      </c>
    </row>
    <row r="127" spans="1:24" ht="9.75" customHeight="1" x14ac:dyDescent="0.25">
      <c r="A127" s="288">
        <v>465</v>
      </c>
      <c r="B127" s="288"/>
      <c r="D127" s="258" t="s">
        <v>234</v>
      </c>
      <c r="E127" s="289">
        <v>37684</v>
      </c>
      <c r="F127" s="289"/>
      <c r="G127" s="289"/>
      <c r="H127" s="289"/>
      <c r="I127" s="290" t="s">
        <v>205</v>
      </c>
      <c r="J127" s="290"/>
      <c r="K127" s="290"/>
      <c r="L127" s="47">
        <v>33</v>
      </c>
      <c r="M127" s="262">
        <v>200.35</v>
      </c>
      <c r="N127" s="47">
        <v>100</v>
      </c>
      <c r="O127" s="291">
        <v>83.97</v>
      </c>
      <c r="P127" s="291"/>
      <c r="Q127" s="291"/>
      <c r="R127" s="262">
        <v>6.07</v>
      </c>
      <c r="S127" s="262">
        <v>90.04</v>
      </c>
      <c r="U127" s="149">
        <f t="shared" si="8"/>
        <v>49729</v>
      </c>
      <c r="V127" s="146">
        <f t="shared" si="9"/>
        <v>14.824999999999999</v>
      </c>
      <c r="W127" s="150">
        <f t="shared" si="10"/>
        <v>18.175000000000001</v>
      </c>
      <c r="X127" s="146">
        <f t="shared" si="7"/>
        <v>18.175000000000001</v>
      </c>
    </row>
    <row r="128" spans="1:24" ht="9.75" customHeight="1" x14ac:dyDescent="0.25">
      <c r="A128" s="288">
        <v>466</v>
      </c>
      <c r="B128" s="288"/>
      <c r="D128" s="258" t="s">
        <v>234</v>
      </c>
      <c r="E128" s="289">
        <v>37711</v>
      </c>
      <c r="F128" s="289"/>
      <c r="G128" s="289"/>
      <c r="H128" s="289"/>
      <c r="I128" s="290" t="s">
        <v>205</v>
      </c>
      <c r="J128" s="290"/>
      <c r="K128" s="290"/>
      <c r="L128" s="47">
        <v>33</v>
      </c>
      <c r="M128" s="262">
        <v>457.92</v>
      </c>
      <c r="N128" s="47">
        <v>100</v>
      </c>
      <c r="O128" s="291">
        <v>192</v>
      </c>
      <c r="P128" s="291"/>
      <c r="Q128" s="291"/>
      <c r="R128" s="262">
        <v>13.88</v>
      </c>
      <c r="S128" s="262">
        <v>205.88</v>
      </c>
      <c r="U128" s="149">
        <f t="shared" si="8"/>
        <v>49756</v>
      </c>
      <c r="V128" s="146">
        <f t="shared" si="9"/>
        <v>14.75</v>
      </c>
      <c r="W128" s="150">
        <f t="shared" si="10"/>
        <v>18.25</v>
      </c>
      <c r="X128" s="146">
        <f t="shared" si="7"/>
        <v>18.25</v>
      </c>
    </row>
    <row r="129" spans="1:24" ht="9.75" customHeight="1" x14ac:dyDescent="0.25">
      <c r="A129" s="288">
        <v>500</v>
      </c>
      <c r="B129" s="288"/>
      <c r="D129" s="258" t="s">
        <v>234</v>
      </c>
      <c r="E129" s="289">
        <v>37834</v>
      </c>
      <c r="F129" s="289"/>
      <c r="G129" s="289"/>
      <c r="H129" s="289"/>
      <c r="I129" s="290" t="s">
        <v>205</v>
      </c>
      <c r="J129" s="290"/>
      <c r="K129" s="290"/>
      <c r="L129" s="47">
        <v>33</v>
      </c>
      <c r="M129" s="262">
        <v>103.3</v>
      </c>
      <c r="N129" s="47">
        <v>100</v>
      </c>
      <c r="O129" s="291">
        <v>41.99</v>
      </c>
      <c r="P129" s="291"/>
      <c r="Q129" s="291"/>
      <c r="R129" s="262">
        <v>3.13</v>
      </c>
      <c r="S129" s="262">
        <v>45.12</v>
      </c>
      <c r="U129" s="149">
        <f t="shared" si="8"/>
        <v>49879</v>
      </c>
      <c r="V129" s="146">
        <f t="shared" si="9"/>
        <v>14.416666666666666</v>
      </c>
      <c r="W129" s="150">
        <f t="shared" si="10"/>
        <v>18.583333333333336</v>
      </c>
      <c r="X129" s="146">
        <f t="shared" si="7"/>
        <v>18.583333333333336</v>
      </c>
    </row>
    <row r="130" spans="1:24" ht="9.75" customHeight="1" x14ac:dyDescent="0.25">
      <c r="A130" s="288">
        <v>507</v>
      </c>
      <c r="B130" s="288"/>
      <c r="D130" s="258" t="s">
        <v>234</v>
      </c>
      <c r="E130" s="289">
        <v>37867</v>
      </c>
      <c r="F130" s="289"/>
      <c r="G130" s="289"/>
      <c r="H130" s="289"/>
      <c r="I130" s="290" t="s">
        <v>205</v>
      </c>
      <c r="J130" s="290"/>
      <c r="K130" s="290"/>
      <c r="L130" s="47">
        <v>33</v>
      </c>
      <c r="M130" s="262">
        <v>103.3</v>
      </c>
      <c r="N130" s="47">
        <v>100</v>
      </c>
      <c r="O130" s="291">
        <v>41.730000000000004</v>
      </c>
      <c r="P130" s="291"/>
      <c r="Q130" s="291"/>
      <c r="R130" s="262">
        <v>3.13</v>
      </c>
      <c r="S130" s="262">
        <v>44.86</v>
      </c>
      <c r="U130" s="149">
        <f t="shared" si="8"/>
        <v>49912</v>
      </c>
      <c r="V130" s="146">
        <f t="shared" si="9"/>
        <v>14.327777777777778</v>
      </c>
      <c r="W130" s="150">
        <f t="shared" si="10"/>
        <v>18.672222222222224</v>
      </c>
      <c r="X130" s="146">
        <f t="shared" si="7"/>
        <v>18.672222222222224</v>
      </c>
    </row>
    <row r="131" spans="1:24" ht="9.75" customHeight="1" x14ac:dyDescent="0.25">
      <c r="A131" s="288">
        <v>521</v>
      </c>
      <c r="B131" s="288"/>
      <c r="D131" s="258" t="s">
        <v>234</v>
      </c>
      <c r="E131" s="289">
        <v>37928</v>
      </c>
      <c r="F131" s="289"/>
      <c r="G131" s="289"/>
      <c r="H131" s="289"/>
      <c r="I131" s="290" t="s">
        <v>205</v>
      </c>
      <c r="J131" s="290"/>
      <c r="K131" s="290"/>
      <c r="L131" s="47">
        <v>33</v>
      </c>
      <c r="M131" s="262">
        <v>140.31</v>
      </c>
      <c r="N131" s="47">
        <v>100</v>
      </c>
      <c r="O131" s="291">
        <v>55.96</v>
      </c>
      <c r="P131" s="291"/>
      <c r="Q131" s="291"/>
      <c r="R131" s="262">
        <v>4.25</v>
      </c>
      <c r="S131" s="262">
        <v>60.21</v>
      </c>
      <c r="U131" s="149">
        <f t="shared" si="8"/>
        <v>49973</v>
      </c>
      <c r="V131" s="146">
        <f t="shared" si="9"/>
        <v>14.161111111111111</v>
      </c>
      <c r="W131" s="150">
        <f t="shared" si="10"/>
        <v>18.838888888888889</v>
      </c>
      <c r="X131" s="146">
        <f t="shared" si="7"/>
        <v>18.838888888888889</v>
      </c>
    </row>
    <row r="132" spans="1:24" ht="9.75" customHeight="1" x14ac:dyDescent="0.25">
      <c r="A132" s="288">
        <v>529</v>
      </c>
      <c r="B132" s="288"/>
      <c r="D132" s="258" t="s">
        <v>234</v>
      </c>
      <c r="E132" s="289">
        <v>37956</v>
      </c>
      <c r="F132" s="289"/>
      <c r="G132" s="289"/>
      <c r="H132" s="289"/>
      <c r="I132" s="290" t="s">
        <v>205</v>
      </c>
      <c r="J132" s="290"/>
      <c r="K132" s="290"/>
      <c r="L132" s="47">
        <v>33</v>
      </c>
      <c r="M132" s="262">
        <v>228.96</v>
      </c>
      <c r="N132" s="47">
        <v>100</v>
      </c>
      <c r="O132" s="291">
        <v>90.8</v>
      </c>
      <c r="P132" s="291"/>
      <c r="Q132" s="291"/>
      <c r="R132" s="262">
        <v>6.94</v>
      </c>
      <c r="S132" s="262">
        <v>97.740000000000009</v>
      </c>
      <c r="U132" s="149">
        <f t="shared" si="8"/>
        <v>50001</v>
      </c>
      <c r="V132" s="146">
        <f t="shared" si="9"/>
        <v>14.083333333333334</v>
      </c>
      <c r="W132" s="150">
        <f t="shared" si="10"/>
        <v>18.916666666666664</v>
      </c>
      <c r="X132" s="146">
        <f t="shared" si="7"/>
        <v>18.916666666666664</v>
      </c>
    </row>
    <row r="133" spans="1:24" ht="9.75" customHeight="1" x14ac:dyDescent="0.25">
      <c r="A133" s="288">
        <v>537</v>
      </c>
      <c r="B133" s="288"/>
      <c r="D133" s="258" t="s">
        <v>234</v>
      </c>
      <c r="E133" s="289">
        <v>38016</v>
      </c>
      <c r="F133" s="289"/>
      <c r="G133" s="289"/>
      <c r="H133" s="289"/>
      <c r="I133" s="290" t="s">
        <v>205</v>
      </c>
      <c r="J133" s="290"/>
      <c r="K133" s="290"/>
      <c r="L133" s="47">
        <v>33</v>
      </c>
      <c r="M133" s="262">
        <v>309.89</v>
      </c>
      <c r="N133" s="47">
        <v>100</v>
      </c>
      <c r="O133" s="291">
        <v>121.29</v>
      </c>
      <c r="P133" s="291"/>
      <c r="Q133" s="291"/>
      <c r="R133" s="262">
        <v>9.39</v>
      </c>
      <c r="S133" s="262">
        <v>130.68</v>
      </c>
      <c r="U133" s="149">
        <f t="shared" si="8"/>
        <v>50061</v>
      </c>
      <c r="V133" s="146">
        <f t="shared" si="9"/>
        <v>13.916666666666666</v>
      </c>
      <c r="W133" s="150">
        <f t="shared" si="10"/>
        <v>19.083333333333336</v>
      </c>
      <c r="X133" s="146">
        <f t="shared" si="7"/>
        <v>19.083333333333336</v>
      </c>
    </row>
    <row r="134" spans="1:24" ht="9.75" customHeight="1" x14ac:dyDescent="0.25">
      <c r="A134" s="288">
        <v>578</v>
      </c>
      <c r="B134" s="288"/>
      <c r="D134" s="258" t="s">
        <v>234</v>
      </c>
      <c r="E134" s="289">
        <v>38205</v>
      </c>
      <c r="F134" s="289"/>
      <c r="G134" s="289"/>
      <c r="H134" s="289"/>
      <c r="I134" s="290" t="s">
        <v>205</v>
      </c>
      <c r="J134" s="290"/>
      <c r="K134" s="290"/>
      <c r="L134" s="47">
        <v>33</v>
      </c>
      <c r="M134" s="262">
        <v>267.61</v>
      </c>
      <c r="N134" s="47">
        <v>100</v>
      </c>
      <c r="O134" s="291">
        <v>100.7</v>
      </c>
      <c r="P134" s="291"/>
      <c r="Q134" s="291"/>
      <c r="R134" s="262">
        <v>8.11</v>
      </c>
      <c r="S134" s="262">
        <v>108.81</v>
      </c>
      <c r="U134" s="149">
        <f t="shared" si="8"/>
        <v>50250</v>
      </c>
      <c r="V134" s="146">
        <f t="shared" si="9"/>
        <v>13.402777777777779</v>
      </c>
      <c r="W134" s="150">
        <f t="shared" si="10"/>
        <v>19.597222222222221</v>
      </c>
      <c r="X134" s="146">
        <f t="shared" si="7"/>
        <v>19.597222222222221</v>
      </c>
    </row>
    <row r="135" spans="1:24" ht="9.75" customHeight="1" x14ac:dyDescent="0.25">
      <c r="A135" s="288">
        <v>589</v>
      </c>
      <c r="B135" s="288"/>
      <c r="D135" s="258" t="s">
        <v>74</v>
      </c>
      <c r="E135" s="289">
        <v>38233</v>
      </c>
      <c r="F135" s="289"/>
      <c r="G135" s="289"/>
      <c r="H135" s="289"/>
      <c r="I135" s="290" t="s">
        <v>205</v>
      </c>
      <c r="J135" s="290"/>
      <c r="K135" s="290"/>
      <c r="L135" s="47">
        <v>33</v>
      </c>
      <c r="M135" s="262">
        <v>226.33</v>
      </c>
      <c r="N135" s="47">
        <v>100</v>
      </c>
      <c r="O135" s="291">
        <v>84.61</v>
      </c>
      <c r="P135" s="291"/>
      <c r="Q135" s="291"/>
      <c r="R135" s="262">
        <v>6.86</v>
      </c>
      <c r="S135" s="262">
        <v>91.47</v>
      </c>
      <c r="U135" s="149">
        <f t="shared" si="8"/>
        <v>50278</v>
      </c>
      <c r="V135" s="146">
        <f t="shared" si="9"/>
        <v>13.327777777777778</v>
      </c>
      <c r="W135" s="150">
        <f t="shared" si="10"/>
        <v>19.672222222222224</v>
      </c>
      <c r="X135" s="146">
        <f t="shared" si="7"/>
        <v>19.672222222222224</v>
      </c>
    </row>
    <row r="136" spans="1:24" ht="9.75" customHeight="1" x14ac:dyDescent="0.25">
      <c r="A136" s="288">
        <v>596</v>
      </c>
      <c r="B136" s="288"/>
      <c r="D136" s="258" t="s">
        <v>234</v>
      </c>
      <c r="E136" s="289">
        <v>38264</v>
      </c>
      <c r="F136" s="289"/>
      <c r="G136" s="289"/>
      <c r="H136" s="289"/>
      <c r="I136" s="290" t="s">
        <v>205</v>
      </c>
      <c r="J136" s="290"/>
      <c r="K136" s="290"/>
      <c r="L136" s="47">
        <v>33</v>
      </c>
      <c r="M136" s="262">
        <v>672.64</v>
      </c>
      <c r="N136" s="47">
        <v>100</v>
      </c>
      <c r="O136" s="291">
        <v>249.66</v>
      </c>
      <c r="P136" s="291"/>
      <c r="Q136" s="291"/>
      <c r="R136" s="262">
        <v>20.38</v>
      </c>
      <c r="S136" s="262">
        <v>270.04000000000002</v>
      </c>
      <c r="U136" s="149">
        <f t="shared" si="8"/>
        <v>50309</v>
      </c>
      <c r="V136" s="146">
        <f t="shared" si="9"/>
        <v>13.241666666666667</v>
      </c>
      <c r="W136" s="150">
        <f t="shared" si="10"/>
        <v>19.758333333333333</v>
      </c>
      <c r="X136" s="146">
        <f t="shared" si="7"/>
        <v>19.758333333333333</v>
      </c>
    </row>
    <row r="137" spans="1:24" ht="9.75" customHeight="1" x14ac:dyDescent="0.25">
      <c r="A137" s="288">
        <v>601</v>
      </c>
      <c r="B137" s="288"/>
      <c r="D137" s="258" t="s">
        <v>234</v>
      </c>
      <c r="E137" s="289">
        <v>38296</v>
      </c>
      <c r="F137" s="289"/>
      <c r="G137" s="289"/>
      <c r="H137" s="289"/>
      <c r="I137" s="290" t="s">
        <v>205</v>
      </c>
      <c r="J137" s="290"/>
      <c r="K137" s="290"/>
      <c r="L137" s="47">
        <v>33</v>
      </c>
      <c r="M137" s="262">
        <v>372.44</v>
      </c>
      <c r="N137" s="47">
        <v>100</v>
      </c>
      <c r="O137" s="291">
        <v>137.36000000000001</v>
      </c>
      <c r="P137" s="291"/>
      <c r="Q137" s="291"/>
      <c r="R137" s="262">
        <v>11.290000000000001</v>
      </c>
      <c r="S137" s="262">
        <v>148.65</v>
      </c>
      <c r="U137" s="149">
        <f t="shared" si="8"/>
        <v>50341</v>
      </c>
      <c r="V137" s="146">
        <f t="shared" si="9"/>
        <v>13.155555555555555</v>
      </c>
      <c r="W137" s="150">
        <f t="shared" si="10"/>
        <v>19.844444444444445</v>
      </c>
      <c r="X137" s="146">
        <f t="shared" si="7"/>
        <v>19.844444444444445</v>
      </c>
    </row>
    <row r="138" spans="1:24" ht="9.75" customHeight="1" x14ac:dyDescent="0.25">
      <c r="A138" s="288">
        <v>624</v>
      </c>
      <c r="B138" s="288"/>
      <c r="D138" s="258" t="s">
        <v>234</v>
      </c>
      <c r="E138" s="289">
        <v>38447</v>
      </c>
      <c r="F138" s="289"/>
      <c r="G138" s="289"/>
      <c r="H138" s="289"/>
      <c r="I138" s="290" t="s">
        <v>205</v>
      </c>
      <c r="J138" s="290"/>
      <c r="K138" s="290"/>
      <c r="L138" s="47">
        <v>33</v>
      </c>
      <c r="M138" s="262">
        <v>106.25</v>
      </c>
      <c r="N138" s="47">
        <v>100</v>
      </c>
      <c r="O138" s="291">
        <v>37.83</v>
      </c>
      <c r="P138" s="291"/>
      <c r="Q138" s="291"/>
      <c r="R138" s="262">
        <v>3.22</v>
      </c>
      <c r="S138" s="262">
        <v>41.050000000000004</v>
      </c>
      <c r="U138" s="149">
        <f t="shared" si="8"/>
        <v>50492</v>
      </c>
      <c r="V138" s="146">
        <f t="shared" si="9"/>
        <v>12.738888888888889</v>
      </c>
      <c r="W138" s="150">
        <f t="shared" si="10"/>
        <v>20.261111111111113</v>
      </c>
      <c r="X138" s="146">
        <f t="shared" si="7"/>
        <v>20.261111111111113</v>
      </c>
    </row>
    <row r="139" spans="1:24" ht="9.75" customHeight="1" x14ac:dyDescent="0.25">
      <c r="A139" s="288">
        <v>637</v>
      </c>
      <c r="B139" s="288"/>
      <c r="D139" s="258" t="s">
        <v>234</v>
      </c>
      <c r="E139" s="289">
        <v>38538</v>
      </c>
      <c r="F139" s="289"/>
      <c r="G139" s="289"/>
      <c r="H139" s="289"/>
      <c r="I139" s="290" t="s">
        <v>205</v>
      </c>
      <c r="J139" s="290"/>
      <c r="K139" s="290"/>
      <c r="L139" s="47">
        <v>33</v>
      </c>
      <c r="M139" s="262">
        <v>106.24000000000001</v>
      </c>
      <c r="N139" s="47">
        <v>100</v>
      </c>
      <c r="O139" s="291">
        <v>37.03</v>
      </c>
      <c r="P139" s="291"/>
      <c r="Q139" s="291"/>
      <c r="R139" s="262">
        <v>3.22</v>
      </c>
      <c r="S139" s="262">
        <v>40.25</v>
      </c>
      <c r="U139" s="149">
        <f t="shared" si="8"/>
        <v>50583</v>
      </c>
      <c r="V139" s="146">
        <f t="shared" si="9"/>
        <v>12.488888888888889</v>
      </c>
      <c r="W139" s="150">
        <f t="shared" si="10"/>
        <v>20.511111111111113</v>
      </c>
      <c r="X139" s="146">
        <f t="shared" si="7"/>
        <v>20.511111111111113</v>
      </c>
    </row>
    <row r="140" spans="1:24" ht="9.75" customHeight="1" x14ac:dyDescent="0.25">
      <c r="A140" s="288">
        <v>730</v>
      </c>
      <c r="B140" s="288"/>
      <c r="D140" s="258" t="s">
        <v>234</v>
      </c>
      <c r="E140" s="289">
        <v>39212</v>
      </c>
      <c r="F140" s="289"/>
      <c r="G140" s="289"/>
      <c r="H140" s="289"/>
      <c r="I140" s="290" t="s">
        <v>205</v>
      </c>
      <c r="J140" s="290"/>
      <c r="K140" s="290"/>
      <c r="L140" s="47">
        <v>33</v>
      </c>
      <c r="M140" s="262">
        <v>81.2</v>
      </c>
      <c r="N140" s="47">
        <v>100</v>
      </c>
      <c r="O140" s="291">
        <v>23.78</v>
      </c>
      <c r="P140" s="291"/>
      <c r="Q140" s="291"/>
      <c r="R140" s="262">
        <v>2.46</v>
      </c>
      <c r="S140" s="262">
        <v>26.240000000000002</v>
      </c>
      <c r="U140" s="149">
        <f t="shared" ref="U140:U145" si="11">E140+(L140*365)</f>
        <v>51257</v>
      </c>
      <c r="V140" s="146">
        <f t="shared" ref="V140:V145" si="12">YEARFRAC(E140,$V$14)</f>
        <v>10.641666666666667</v>
      </c>
      <c r="W140" s="150">
        <f t="shared" ref="W140:W145" si="13">IF(V140&gt;L140,0,L140-V140)</f>
        <v>22.358333333333334</v>
      </c>
      <c r="X140" s="146">
        <f t="shared" si="7"/>
        <v>22.358333333333334</v>
      </c>
    </row>
    <row r="141" spans="1:24" ht="9.75" customHeight="1" x14ac:dyDescent="0.25">
      <c r="A141" s="288">
        <v>864</v>
      </c>
      <c r="B141" s="288"/>
      <c r="D141" s="258" t="s">
        <v>256</v>
      </c>
      <c r="E141" s="289">
        <v>40491</v>
      </c>
      <c r="F141" s="289"/>
      <c r="G141" s="289"/>
      <c r="H141" s="289"/>
      <c r="I141" s="290" t="s">
        <v>205</v>
      </c>
      <c r="J141" s="290"/>
      <c r="K141" s="290"/>
      <c r="L141" s="47">
        <v>33</v>
      </c>
      <c r="M141" s="262">
        <v>242.89000000000001</v>
      </c>
      <c r="N141" s="47">
        <v>100</v>
      </c>
      <c r="O141" s="291">
        <v>45.39</v>
      </c>
      <c r="P141" s="291"/>
      <c r="Q141" s="291"/>
      <c r="R141" s="262">
        <v>7.36</v>
      </c>
      <c r="S141" s="262">
        <v>52.75</v>
      </c>
      <c r="U141" s="149">
        <f t="shared" si="11"/>
        <v>52536</v>
      </c>
      <c r="V141" s="146">
        <f t="shared" si="12"/>
        <v>7.1444444444444448</v>
      </c>
      <c r="W141" s="150">
        <f t="shared" si="13"/>
        <v>25.855555555555554</v>
      </c>
      <c r="X141" s="146">
        <f t="shared" si="7"/>
        <v>25.855555555555554</v>
      </c>
    </row>
    <row r="142" spans="1:24" ht="9.75" customHeight="1" x14ac:dyDescent="0.25">
      <c r="A142" s="288">
        <v>871</v>
      </c>
      <c r="B142" s="288"/>
      <c r="D142" s="258" t="s">
        <v>256</v>
      </c>
      <c r="E142" s="289">
        <v>40520</v>
      </c>
      <c r="F142" s="289"/>
      <c r="G142" s="289"/>
      <c r="H142" s="289"/>
      <c r="I142" s="290" t="s">
        <v>205</v>
      </c>
      <c r="J142" s="290"/>
      <c r="K142" s="290"/>
      <c r="L142" s="47">
        <v>33</v>
      </c>
      <c r="M142" s="262">
        <v>46.39</v>
      </c>
      <c r="N142" s="47">
        <v>100</v>
      </c>
      <c r="O142" s="291">
        <v>8.58</v>
      </c>
      <c r="P142" s="291"/>
      <c r="Q142" s="291"/>
      <c r="R142" s="262">
        <v>1.41</v>
      </c>
      <c r="S142" s="262">
        <v>9.99</v>
      </c>
      <c r="U142" s="149">
        <f t="shared" si="11"/>
        <v>52565</v>
      </c>
      <c r="V142" s="146">
        <f t="shared" si="12"/>
        <v>7.0638888888888891</v>
      </c>
      <c r="W142" s="150">
        <f t="shared" si="13"/>
        <v>25.93611111111111</v>
      </c>
      <c r="X142" s="146">
        <f t="shared" si="7"/>
        <v>25.93611111111111</v>
      </c>
    </row>
    <row r="143" spans="1:24" ht="9.75" customHeight="1" x14ac:dyDescent="0.25">
      <c r="A143" s="288">
        <v>876</v>
      </c>
      <c r="B143" s="288"/>
      <c r="D143" s="258" t="s">
        <v>257</v>
      </c>
      <c r="E143" s="289">
        <v>40543</v>
      </c>
      <c r="F143" s="289"/>
      <c r="G143" s="289"/>
      <c r="H143" s="289"/>
      <c r="I143" s="290" t="s">
        <v>258</v>
      </c>
      <c r="J143" s="290"/>
      <c r="K143" s="290"/>
      <c r="L143" s="47">
        <v>33</v>
      </c>
      <c r="M143" s="262">
        <v>288.26</v>
      </c>
      <c r="N143" s="47">
        <v>100</v>
      </c>
      <c r="O143" s="291">
        <v>288.26</v>
      </c>
      <c r="P143" s="291"/>
      <c r="Q143" s="291"/>
      <c r="R143" s="262">
        <v>0</v>
      </c>
      <c r="S143" s="262">
        <v>288.26</v>
      </c>
      <c r="U143" s="149">
        <f t="shared" si="11"/>
        <v>52588</v>
      </c>
      <c r="V143" s="146">
        <f t="shared" si="12"/>
        <v>7</v>
      </c>
      <c r="W143" s="150">
        <f t="shared" si="13"/>
        <v>26</v>
      </c>
      <c r="X143" s="146">
        <f>IF(W143=0,0,W143)</f>
        <v>26</v>
      </c>
    </row>
    <row r="144" spans="1:24" ht="9.75" customHeight="1" x14ac:dyDescent="0.25">
      <c r="A144" s="288">
        <v>1013</v>
      </c>
      <c r="B144" s="288"/>
      <c r="D144" s="258" t="s">
        <v>234</v>
      </c>
      <c r="E144" s="289">
        <v>41547</v>
      </c>
      <c r="F144" s="289"/>
      <c r="G144" s="289"/>
      <c r="H144" s="289"/>
      <c r="I144" s="290" t="s">
        <v>205</v>
      </c>
      <c r="J144" s="290"/>
      <c r="K144" s="290"/>
      <c r="L144" s="47">
        <v>33</v>
      </c>
      <c r="M144" s="262">
        <v>304.75</v>
      </c>
      <c r="N144" s="47">
        <v>100</v>
      </c>
      <c r="O144" s="291">
        <v>30</v>
      </c>
      <c r="P144" s="291"/>
      <c r="Q144" s="291"/>
      <c r="R144" s="262">
        <v>9.23</v>
      </c>
      <c r="S144" s="262">
        <v>39.229999999999997</v>
      </c>
      <c r="U144" s="149">
        <f t="shared" si="11"/>
        <v>53592</v>
      </c>
      <c r="V144" s="146">
        <f t="shared" si="12"/>
        <v>4.25</v>
      </c>
      <c r="W144" s="150">
        <f t="shared" si="13"/>
        <v>28.75</v>
      </c>
      <c r="X144" s="146">
        <f>IF(W144=0,0,W144)</f>
        <v>28.75</v>
      </c>
    </row>
    <row r="145" spans="1:24" ht="9.75" customHeight="1" x14ac:dyDescent="0.25">
      <c r="A145" s="288">
        <v>1181</v>
      </c>
      <c r="B145" s="288"/>
      <c r="D145" s="258" t="s">
        <v>259</v>
      </c>
      <c r="E145" s="289">
        <v>43100</v>
      </c>
      <c r="F145" s="289"/>
      <c r="G145" s="289"/>
      <c r="H145" s="289"/>
      <c r="I145" s="290" t="s">
        <v>205</v>
      </c>
      <c r="J145" s="290"/>
      <c r="K145" s="290"/>
      <c r="L145" s="47">
        <v>33</v>
      </c>
      <c r="M145" s="262">
        <v>549.47</v>
      </c>
      <c r="N145" s="47">
        <v>100</v>
      </c>
      <c r="O145" s="291">
        <v>0</v>
      </c>
      <c r="P145" s="291"/>
      <c r="Q145" s="291"/>
      <c r="R145" s="262">
        <v>0</v>
      </c>
      <c r="S145" s="262">
        <v>0</v>
      </c>
      <c r="U145" s="149">
        <f t="shared" si="11"/>
        <v>55145</v>
      </c>
      <c r="V145" s="146">
        <f t="shared" si="12"/>
        <v>0</v>
      </c>
      <c r="W145" s="150">
        <f t="shared" si="13"/>
        <v>33</v>
      </c>
      <c r="X145" s="146">
        <f>IF(W145=0,0,W145)</f>
        <v>33</v>
      </c>
    </row>
    <row r="146" spans="1:24" ht="2.25" customHeight="1" x14ac:dyDescent="0.25">
      <c r="X146" s="146"/>
    </row>
    <row r="147" spans="1:24" ht="12" customHeight="1" x14ac:dyDescent="0.25">
      <c r="A147" s="283" t="s">
        <v>260</v>
      </c>
      <c r="B147" s="283"/>
      <c r="C147" s="283"/>
      <c r="D147" s="283"/>
      <c r="E147" s="283"/>
      <c r="F147" s="283"/>
      <c r="G147" s="283"/>
      <c r="M147" s="260">
        <v>38751.480000000003</v>
      </c>
      <c r="O147" s="284">
        <v>23269.05</v>
      </c>
      <c r="P147" s="284"/>
      <c r="Q147" s="284"/>
      <c r="R147" s="260">
        <v>1115.51</v>
      </c>
      <c r="S147" s="260">
        <v>24384.560000000001</v>
      </c>
      <c r="U147" s="281" t="s">
        <v>208</v>
      </c>
      <c r="V147" s="282"/>
      <c r="W147" s="147">
        <f>AVERAGE(W76:W145)</f>
        <v>15.685793650793647</v>
      </c>
      <c r="X147" s="147">
        <f>AVERAGE(X76:X145)</f>
        <v>15.685793650793647</v>
      </c>
    </row>
    <row r="148" spans="1:24" ht="14.25" customHeight="1" x14ac:dyDescent="0.25">
      <c r="B148" s="283" t="s">
        <v>209</v>
      </c>
      <c r="C148" s="283"/>
      <c r="D148" s="283"/>
      <c r="E148" s="283"/>
      <c r="F148" s="283"/>
      <c r="G148" s="283"/>
      <c r="H148" s="283"/>
      <c r="M148" s="261">
        <v>0</v>
      </c>
      <c r="O148" s="285">
        <v>0</v>
      </c>
      <c r="P148" s="285"/>
      <c r="Q148" s="285"/>
      <c r="R148" s="261">
        <v>0</v>
      </c>
      <c r="S148" s="261">
        <v>0</v>
      </c>
      <c r="X148" s="146"/>
    </row>
    <row r="149" spans="1:24" ht="9.75" customHeight="1" thickBot="1" x14ac:dyDescent="0.3">
      <c r="A149" s="283" t="s">
        <v>261</v>
      </c>
      <c r="B149" s="283"/>
      <c r="C149" s="283"/>
      <c r="D149" s="283"/>
      <c r="E149" s="283"/>
      <c r="F149" s="283"/>
      <c r="G149" s="283"/>
      <c r="M149" s="286">
        <v>38751.480000000003</v>
      </c>
      <c r="O149" s="286">
        <v>23269.05</v>
      </c>
      <c r="P149" s="286"/>
      <c r="Q149" s="286"/>
      <c r="R149" s="286">
        <v>1115.51</v>
      </c>
      <c r="S149" s="286">
        <v>24384.560000000001</v>
      </c>
      <c r="X149" s="146"/>
    </row>
    <row r="150" spans="1:24" ht="6" customHeight="1" thickTop="1" thickBot="1" x14ac:dyDescent="0.3">
      <c r="M150" s="286"/>
      <c r="O150" s="286"/>
      <c r="P150" s="286"/>
      <c r="Q150" s="286"/>
      <c r="R150" s="286"/>
      <c r="S150" s="286"/>
      <c r="X150" s="146"/>
    </row>
    <row r="151" spans="1:24" ht="2.25" customHeight="1" thickTop="1" x14ac:dyDescent="0.25">
      <c r="X151" s="146"/>
    </row>
    <row r="152" spans="1:24" ht="14.25" customHeight="1" x14ac:dyDescent="0.25">
      <c r="A152" s="283" t="s">
        <v>168</v>
      </c>
      <c r="B152" s="283"/>
      <c r="C152" s="283"/>
      <c r="D152" s="283"/>
      <c r="E152" s="283"/>
      <c r="F152" s="283"/>
      <c r="G152" s="283"/>
      <c r="H152" s="283"/>
      <c r="I152" s="283"/>
      <c r="J152" s="283"/>
      <c r="K152" s="283"/>
      <c r="L152" s="283"/>
      <c r="M152" s="283"/>
      <c r="N152" s="283"/>
      <c r="O152" s="283"/>
      <c r="P152" s="283"/>
      <c r="Q152" s="283"/>
      <c r="R152" s="283"/>
      <c r="S152" s="283"/>
      <c r="T152" s="283"/>
      <c r="U152" s="140" t="s">
        <v>201</v>
      </c>
      <c r="V152" s="141">
        <v>43100</v>
      </c>
      <c r="W152" s="140" t="s">
        <v>202</v>
      </c>
      <c r="X152" s="148" t="s">
        <v>203</v>
      </c>
    </row>
    <row r="153" spans="1:24" ht="2.25" customHeight="1" x14ac:dyDescent="0.25">
      <c r="W153" s="142"/>
      <c r="X153" s="146"/>
    </row>
    <row r="154" spans="1:24" ht="0.75" customHeight="1" x14ac:dyDescent="0.25">
      <c r="X154" s="146"/>
    </row>
    <row r="155" spans="1:24" ht="9.75" customHeight="1" x14ac:dyDescent="0.25">
      <c r="A155" s="288">
        <v>21</v>
      </c>
      <c r="B155" s="288"/>
      <c r="D155" s="258" t="s">
        <v>168</v>
      </c>
      <c r="E155" s="289">
        <v>35430</v>
      </c>
      <c r="F155" s="289"/>
      <c r="G155" s="289"/>
      <c r="H155" s="289"/>
      <c r="I155" s="290" t="s">
        <v>262</v>
      </c>
      <c r="J155" s="290"/>
      <c r="K155" s="290"/>
      <c r="L155" s="47">
        <v>0</v>
      </c>
      <c r="M155" s="262">
        <v>9359</v>
      </c>
      <c r="N155" s="47">
        <v>100</v>
      </c>
      <c r="O155" s="291">
        <v>0</v>
      </c>
      <c r="P155" s="291"/>
      <c r="Q155" s="291"/>
      <c r="R155" s="262">
        <v>0</v>
      </c>
      <c r="S155" s="262">
        <v>0</v>
      </c>
      <c r="U155" s="149">
        <f>E155+(L155*365)</f>
        <v>35430</v>
      </c>
      <c r="V155" s="146">
        <f>YEARFRAC(E155,$V$14)</f>
        <v>21</v>
      </c>
      <c r="W155" s="150">
        <f>IF(V155&gt;L155,0,L155-V155)</f>
        <v>0</v>
      </c>
      <c r="X155" s="146">
        <f>IF(W155=0,0,W155)</f>
        <v>0</v>
      </c>
    </row>
    <row r="156" spans="1:24" ht="9.75" customHeight="1" x14ac:dyDescent="0.25">
      <c r="A156" s="288">
        <v>801</v>
      </c>
      <c r="B156" s="288"/>
      <c r="D156" s="258" t="s">
        <v>263</v>
      </c>
      <c r="E156" s="289">
        <v>40057</v>
      </c>
      <c r="F156" s="289"/>
      <c r="G156" s="289"/>
      <c r="H156" s="289"/>
      <c r="I156" s="290" t="s">
        <v>262</v>
      </c>
      <c r="J156" s="290"/>
      <c r="K156" s="290"/>
      <c r="L156" s="47">
        <v>0</v>
      </c>
      <c r="M156" s="262">
        <v>50000</v>
      </c>
      <c r="N156" s="47">
        <v>100</v>
      </c>
      <c r="O156" s="291">
        <v>0</v>
      </c>
      <c r="P156" s="291"/>
      <c r="Q156" s="291"/>
      <c r="R156" s="262">
        <v>0</v>
      </c>
      <c r="S156" s="262">
        <v>0</v>
      </c>
      <c r="U156" s="149">
        <f>E156+(L156*365)</f>
        <v>40057</v>
      </c>
      <c r="V156" s="146">
        <f>YEARFRAC(E156,$V$14)</f>
        <v>8.3333333333333339</v>
      </c>
      <c r="W156" s="150">
        <f>IF(V156&gt;L156,0,L156-V156)</f>
        <v>0</v>
      </c>
      <c r="X156" s="146">
        <f>IF(W156=0,0,W156)</f>
        <v>0</v>
      </c>
    </row>
    <row r="157" spans="1:24" ht="2.25" customHeight="1" x14ac:dyDescent="0.25">
      <c r="U157" s="149">
        <f>E157+(L157*365)</f>
        <v>0</v>
      </c>
      <c r="V157" s="146">
        <f>YEARFRAC(E157,$V$14)</f>
        <v>118.00277777777778</v>
      </c>
      <c r="W157" s="150">
        <f>IF(V157&gt;L157,0,L157-V157)</f>
        <v>0</v>
      </c>
      <c r="X157" s="146"/>
    </row>
    <row r="158" spans="1:24" ht="12" customHeight="1" x14ac:dyDescent="0.25">
      <c r="A158" s="283" t="s">
        <v>264</v>
      </c>
      <c r="B158" s="283"/>
      <c r="C158" s="283"/>
      <c r="D158" s="283"/>
      <c r="E158" s="283"/>
      <c r="F158" s="283"/>
      <c r="G158" s="283"/>
      <c r="M158" s="260">
        <v>59359</v>
      </c>
      <c r="O158" s="284">
        <v>0</v>
      </c>
      <c r="P158" s="284"/>
      <c r="Q158" s="284"/>
      <c r="R158" s="260">
        <v>0</v>
      </c>
      <c r="S158" s="260">
        <v>0</v>
      </c>
      <c r="U158" s="281" t="s">
        <v>208</v>
      </c>
      <c r="V158" s="282"/>
      <c r="W158" s="147">
        <f>AVERAGE(W155:W156)</f>
        <v>0</v>
      </c>
      <c r="X158" s="147">
        <f>AVERAGE(X155:X156)</f>
        <v>0</v>
      </c>
    </row>
    <row r="159" spans="1:24" ht="14.25" customHeight="1" x14ac:dyDescent="0.25">
      <c r="B159" s="283" t="s">
        <v>209</v>
      </c>
      <c r="C159" s="283"/>
      <c r="D159" s="283"/>
      <c r="E159" s="283"/>
      <c r="F159" s="283"/>
      <c r="G159" s="283"/>
      <c r="H159" s="283"/>
      <c r="M159" s="261">
        <v>0</v>
      </c>
      <c r="O159" s="285">
        <v>0</v>
      </c>
      <c r="P159" s="285"/>
      <c r="Q159" s="285"/>
      <c r="R159" s="261">
        <v>0</v>
      </c>
      <c r="S159" s="261">
        <v>0</v>
      </c>
      <c r="X159" s="146"/>
    </row>
    <row r="160" spans="1:24" ht="9.75" customHeight="1" thickBot="1" x14ac:dyDescent="0.3">
      <c r="A160" s="283" t="s">
        <v>265</v>
      </c>
      <c r="B160" s="283"/>
      <c r="C160" s="283"/>
      <c r="D160" s="283"/>
      <c r="E160" s="283"/>
      <c r="F160" s="283"/>
      <c r="G160" s="283"/>
      <c r="M160" s="286">
        <v>59359</v>
      </c>
      <c r="O160" s="286">
        <v>0</v>
      </c>
      <c r="P160" s="286"/>
      <c r="Q160" s="286"/>
      <c r="R160" s="286">
        <v>0</v>
      </c>
      <c r="S160" s="286">
        <v>0</v>
      </c>
      <c r="X160" s="146"/>
    </row>
    <row r="161" spans="1:24" ht="6" customHeight="1" thickTop="1" thickBot="1" x14ac:dyDescent="0.3">
      <c r="M161" s="286"/>
      <c r="O161" s="286"/>
      <c r="P161" s="286"/>
      <c r="Q161" s="286"/>
      <c r="R161" s="286"/>
      <c r="S161" s="286"/>
      <c r="X161" s="146"/>
    </row>
    <row r="162" spans="1:24" ht="2.25" customHeight="1" thickTop="1" x14ac:dyDescent="0.25">
      <c r="X162" s="146"/>
    </row>
    <row r="163" spans="1:24" ht="14.25" customHeight="1" x14ac:dyDescent="0.25">
      <c r="A163" s="283" t="s">
        <v>64</v>
      </c>
      <c r="B163" s="283"/>
      <c r="C163" s="283"/>
      <c r="D163" s="283"/>
      <c r="E163" s="283"/>
      <c r="F163" s="283"/>
      <c r="G163" s="283"/>
      <c r="H163" s="283"/>
      <c r="I163" s="283"/>
      <c r="J163" s="283"/>
      <c r="K163" s="283"/>
      <c r="L163" s="283"/>
      <c r="M163" s="283"/>
      <c r="N163" s="283"/>
      <c r="O163" s="283"/>
      <c r="P163" s="283"/>
      <c r="Q163" s="283"/>
      <c r="R163" s="283"/>
      <c r="S163" s="283"/>
      <c r="T163" s="283"/>
      <c r="U163" s="140" t="s">
        <v>201</v>
      </c>
      <c r="V163" s="141">
        <v>43100</v>
      </c>
      <c r="W163" s="140" t="s">
        <v>202</v>
      </c>
      <c r="X163" s="148" t="s">
        <v>203</v>
      </c>
    </row>
    <row r="164" spans="1:24" ht="2.25" customHeight="1" x14ac:dyDescent="0.25">
      <c r="W164" s="142"/>
      <c r="X164" s="146"/>
    </row>
    <row r="165" spans="1:24" ht="0.75" customHeight="1" x14ac:dyDescent="0.25">
      <c r="X165" s="146"/>
    </row>
    <row r="166" spans="1:24" ht="9.75" customHeight="1" x14ac:dyDescent="0.25">
      <c r="A166" s="288">
        <v>39</v>
      </c>
      <c r="B166" s="288"/>
      <c r="D166" s="258" t="s">
        <v>64</v>
      </c>
      <c r="E166" s="289">
        <v>39629</v>
      </c>
      <c r="F166" s="289"/>
      <c r="G166" s="289"/>
      <c r="H166" s="289"/>
      <c r="I166" s="290" t="s">
        <v>205</v>
      </c>
      <c r="J166" s="290"/>
      <c r="K166" s="290"/>
      <c r="L166" s="47">
        <v>33</v>
      </c>
      <c r="M166" s="262">
        <v>2719.67</v>
      </c>
      <c r="N166" s="47">
        <v>100</v>
      </c>
      <c r="O166" s="291">
        <v>700.49</v>
      </c>
      <c r="P166" s="291"/>
      <c r="Q166" s="291"/>
      <c r="R166" s="262">
        <v>82.41</v>
      </c>
      <c r="S166" s="262">
        <v>782.9</v>
      </c>
      <c r="U166" s="149">
        <f t="shared" ref="U166:U229" si="14">E166+(L166*365)</f>
        <v>51674</v>
      </c>
      <c r="V166" s="146">
        <f t="shared" ref="V166:V229" si="15">YEARFRAC(E166,$V$14)</f>
        <v>9.5</v>
      </c>
      <c r="W166" s="150">
        <f t="shared" ref="W166:W229" si="16">IF(V166&gt;L166,0,L166-V166)</f>
        <v>23.5</v>
      </c>
      <c r="X166" s="146">
        <f t="shared" ref="X166:X207" si="17">IF(W166=0,0,W166)</f>
        <v>23.5</v>
      </c>
    </row>
    <row r="167" spans="1:24" ht="9.75" customHeight="1" x14ac:dyDescent="0.25">
      <c r="A167" s="288">
        <v>45</v>
      </c>
      <c r="B167" s="288"/>
      <c r="D167" s="258" t="s">
        <v>64</v>
      </c>
      <c r="E167" s="289">
        <v>39507</v>
      </c>
      <c r="F167" s="289"/>
      <c r="G167" s="289"/>
      <c r="H167" s="289"/>
      <c r="I167" s="290" t="s">
        <v>205</v>
      </c>
      <c r="J167" s="290"/>
      <c r="K167" s="290"/>
      <c r="L167" s="47">
        <v>33</v>
      </c>
      <c r="M167" s="262">
        <v>375</v>
      </c>
      <c r="N167" s="47">
        <v>100</v>
      </c>
      <c r="O167" s="291">
        <v>100.35000000000001</v>
      </c>
      <c r="P167" s="291"/>
      <c r="Q167" s="291"/>
      <c r="R167" s="262">
        <v>11.36</v>
      </c>
      <c r="S167" s="262">
        <v>111.71000000000001</v>
      </c>
      <c r="U167" s="149">
        <f t="shared" si="14"/>
        <v>51552</v>
      </c>
      <c r="V167" s="146">
        <f t="shared" si="15"/>
        <v>9.8361111111111104</v>
      </c>
      <c r="W167" s="150">
        <f t="shared" si="16"/>
        <v>23.163888888888891</v>
      </c>
      <c r="X167" s="146">
        <f t="shared" si="17"/>
        <v>23.163888888888891</v>
      </c>
    </row>
    <row r="168" spans="1:24" ht="9.75" customHeight="1" x14ac:dyDescent="0.25">
      <c r="A168" s="288">
        <v>52</v>
      </c>
      <c r="B168" s="288"/>
      <c r="D168" s="258" t="s">
        <v>64</v>
      </c>
      <c r="E168" s="289">
        <v>39538</v>
      </c>
      <c r="F168" s="289"/>
      <c r="G168" s="289"/>
      <c r="H168" s="289"/>
      <c r="I168" s="290" t="s">
        <v>205</v>
      </c>
      <c r="J168" s="290"/>
      <c r="K168" s="290"/>
      <c r="L168" s="47">
        <v>33</v>
      </c>
      <c r="M168" s="262">
        <v>770.83</v>
      </c>
      <c r="N168" s="47">
        <v>100</v>
      </c>
      <c r="O168" s="291">
        <v>204.4</v>
      </c>
      <c r="P168" s="291"/>
      <c r="Q168" s="291"/>
      <c r="R168" s="262">
        <v>23.36</v>
      </c>
      <c r="S168" s="262">
        <v>227.76</v>
      </c>
      <c r="U168" s="149">
        <f t="shared" si="14"/>
        <v>51583</v>
      </c>
      <c r="V168" s="146">
        <f t="shared" si="15"/>
        <v>9.75</v>
      </c>
      <c r="W168" s="150">
        <f t="shared" si="16"/>
        <v>23.25</v>
      </c>
      <c r="X168" s="146">
        <f t="shared" si="17"/>
        <v>23.25</v>
      </c>
    </row>
    <row r="169" spans="1:24" ht="9.75" customHeight="1" x14ac:dyDescent="0.25">
      <c r="A169" s="288">
        <v>60</v>
      </c>
      <c r="B169" s="288"/>
      <c r="D169" s="258" t="s">
        <v>64</v>
      </c>
      <c r="E169" s="289">
        <v>39568</v>
      </c>
      <c r="F169" s="289"/>
      <c r="G169" s="289"/>
      <c r="H169" s="289"/>
      <c r="I169" s="290" t="s">
        <v>205</v>
      </c>
      <c r="J169" s="290"/>
      <c r="K169" s="290"/>
      <c r="L169" s="47">
        <v>33</v>
      </c>
      <c r="M169" s="262">
        <v>429.38</v>
      </c>
      <c r="N169" s="47">
        <v>100</v>
      </c>
      <c r="O169" s="291">
        <v>112.75</v>
      </c>
      <c r="P169" s="291"/>
      <c r="Q169" s="291"/>
      <c r="R169" s="262">
        <v>13.01</v>
      </c>
      <c r="S169" s="262">
        <v>125.76</v>
      </c>
      <c r="U169" s="149">
        <f t="shared" si="14"/>
        <v>51613</v>
      </c>
      <c r="V169" s="146">
        <f t="shared" si="15"/>
        <v>9.6666666666666661</v>
      </c>
      <c r="W169" s="150">
        <f t="shared" si="16"/>
        <v>23.333333333333336</v>
      </c>
      <c r="X169" s="146">
        <f t="shared" si="17"/>
        <v>23.333333333333336</v>
      </c>
    </row>
    <row r="170" spans="1:24" ht="9.75" customHeight="1" x14ac:dyDescent="0.25">
      <c r="A170" s="288">
        <v>65</v>
      </c>
      <c r="B170" s="288"/>
      <c r="D170" s="258" t="s">
        <v>64</v>
      </c>
      <c r="E170" s="289">
        <v>39599</v>
      </c>
      <c r="F170" s="289"/>
      <c r="G170" s="289"/>
      <c r="H170" s="289"/>
      <c r="I170" s="290" t="s">
        <v>205</v>
      </c>
      <c r="J170" s="290"/>
      <c r="K170" s="290"/>
      <c r="L170" s="47">
        <v>33</v>
      </c>
      <c r="M170" s="262">
        <v>1675.88</v>
      </c>
      <c r="N170" s="47">
        <v>100</v>
      </c>
      <c r="O170" s="291">
        <v>435.86</v>
      </c>
      <c r="P170" s="291"/>
      <c r="Q170" s="291"/>
      <c r="R170" s="262">
        <v>50.78</v>
      </c>
      <c r="S170" s="262">
        <v>486.64</v>
      </c>
      <c r="U170" s="149">
        <f t="shared" si="14"/>
        <v>51644</v>
      </c>
      <c r="V170" s="146">
        <f t="shared" si="15"/>
        <v>9.5833333333333339</v>
      </c>
      <c r="W170" s="150">
        <f t="shared" si="16"/>
        <v>23.416666666666664</v>
      </c>
      <c r="X170" s="146">
        <f t="shared" si="17"/>
        <v>23.416666666666664</v>
      </c>
    </row>
    <row r="171" spans="1:24" ht="9.75" customHeight="1" x14ac:dyDescent="0.25">
      <c r="A171" s="288">
        <v>69</v>
      </c>
      <c r="B171" s="288"/>
      <c r="D171" s="258" t="s">
        <v>64</v>
      </c>
      <c r="E171" s="289">
        <v>32781</v>
      </c>
      <c r="F171" s="289"/>
      <c r="G171" s="289"/>
      <c r="H171" s="289"/>
      <c r="I171" s="290" t="s">
        <v>205</v>
      </c>
      <c r="J171" s="290"/>
      <c r="K171" s="290"/>
      <c r="L171" s="47">
        <v>33</v>
      </c>
      <c r="M171" s="262">
        <v>11623</v>
      </c>
      <c r="N171" s="47">
        <v>100</v>
      </c>
      <c r="O171" s="291">
        <v>9627.07</v>
      </c>
      <c r="P171" s="291"/>
      <c r="Q171" s="291"/>
      <c r="R171" s="262">
        <v>352.21</v>
      </c>
      <c r="S171" s="262">
        <v>9979.2800000000007</v>
      </c>
      <c r="U171" s="149">
        <f t="shared" si="14"/>
        <v>44826</v>
      </c>
      <c r="V171" s="146">
        <f t="shared" si="15"/>
        <v>28.25</v>
      </c>
      <c r="W171" s="150">
        <f t="shared" si="16"/>
        <v>4.75</v>
      </c>
      <c r="X171" s="146">
        <f t="shared" si="17"/>
        <v>4.75</v>
      </c>
    </row>
    <row r="172" spans="1:24" ht="9.75" customHeight="1" x14ac:dyDescent="0.25">
      <c r="A172" s="288">
        <v>70</v>
      </c>
      <c r="B172" s="288"/>
      <c r="D172" s="258" t="s">
        <v>64</v>
      </c>
      <c r="E172" s="289">
        <v>32873</v>
      </c>
      <c r="F172" s="289"/>
      <c r="G172" s="289"/>
      <c r="H172" s="289"/>
      <c r="I172" s="290" t="s">
        <v>205</v>
      </c>
      <c r="J172" s="290"/>
      <c r="K172" s="290"/>
      <c r="L172" s="47">
        <v>33</v>
      </c>
      <c r="M172" s="262">
        <v>6710</v>
      </c>
      <c r="N172" s="47">
        <v>100</v>
      </c>
      <c r="O172" s="291">
        <v>5506.85</v>
      </c>
      <c r="P172" s="291"/>
      <c r="Q172" s="291"/>
      <c r="R172" s="262">
        <v>203.33</v>
      </c>
      <c r="S172" s="262">
        <v>5710.18</v>
      </c>
      <c r="U172" s="149">
        <f t="shared" si="14"/>
        <v>44918</v>
      </c>
      <c r="V172" s="146">
        <f t="shared" si="15"/>
        <v>28</v>
      </c>
      <c r="W172" s="150">
        <f t="shared" si="16"/>
        <v>5</v>
      </c>
      <c r="X172" s="146">
        <f t="shared" si="17"/>
        <v>5</v>
      </c>
    </row>
    <row r="173" spans="1:24" ht="9.75" customHeight="1" x14ac:dyDescent="0.25">
      <c r="A173" s="288">
        <v>91</v>
      </c>
      <c r="B173" s="288"/>
      <c r="D173" s="258" t="s">
        <v>64</v>
      </c>
      <c r="E173" s="289">
        <v>31959</v>
      </c>
      <c r="F173" s="289"/>
      <c r="G173" s="289"/>
      <c r="H173" s="289"/>
      <c r="I173" s="290" t="s">
        <v>205</v>
      </c>
      <c r="J173" s="290"/>
      <c r="K173" s="290"/>
      <c r="L173" s="47">
        <v>33</v>
      </c>
      <c r="M173" s="262">
        <v>29119</v>
      </c>
      <c r="N173" s="47">
        <v>100</v>
      </c>
      <c r="O173" s="291">
        <v>26030.510000000002</v>
      </c>
      <c r="P173" s="291"/>
      <c r="Q173" s="291"/>
      <c r="R173" s="262">
        <v>882.39</v>
      </c>
      <c r="S173" s="262">
        <v>26912.9</v>
      </c>
      <c r="U173" s="149">
        <f t="shared" si="14"/>
        <v>44004</v>
      </c>
      <c r="V173" s="146">
        <f t="shared" si="15"/>
        <v>30.5</v>
      </c>
      <c r="W173" s="150">
        <f t="shared" si="16"/>
        <v>2.5</v>
      </c>
      <c r="X173" s="146">
        <f t="shared" si="17"/>
        <v>2.5</v>
      </c>
    </row>
    <row r="174" spans="1:24" ht="9.75" customHeight="1" x14ac:dyDescent="0.25">
      <c r="A174" s="288">
        <v>94</v>
      </c>
      <c r="B174" s="288"/>
      <c r="D174" s="258" t="s">
        <v>64</v>
      </c>
      <c r="E174" s="289">
        <v>32324</v>
      </c>
      <c r="F174" s="289"/>
      <c r="G174" s="289"/>
      <c r="H174" s="289"/>
      <c r="I174" s="290" t="s">
        <v>205</v>
      </c>
      <c r="J174" s="290"/>
      <c r="K174" s="290"/>
      <c r="L174" s="47">
        <v>33</v>
      </c>
      <c r="M174" s="262">
        <v>5966</v>
      </c>
      <c r="N174" s="47">
        <v>100</v>
      </c>
      <c r="O174" s="291">
        <v>5167.58</v>
      </c>
      <c r="P174" s="291"/>
      <c r="Q174" s="291"/>
      <c r="R174" s="262">
        <v>180.79</v>
      </c>
      <c r="S174" s="262">
        <v>5348.37</v>
      </c>
      <c r="U174" s="149">
        <f t="shared" si="14"/>
        <v>44369</v>
      </c>
      <c r="V174" s="146">
        <f t="shared" si="15"/>
        <v>29.5</v>
      </c>
      <c r="W174" s="150">
        <f t="shared" si="16"/>
        <v>3.5</v>
      </c>
      <c r="X174" s="146">
        <f t="shared" si="17"/>
        <v>3.5</v>
      </c>
    </row>
    <row r="175" spans="1:24" ht="9.75" customHeight="1" x14ac:dyDescent="0.25">
      <c r="A175" s="288">
        <v>95</v>
      </c>
      <c r="B175" s="288"/>
      <c r="D175" s="258" t="s">
        <v>64</v>
      </c>
      <c r="E175" s="289">
        <v>32508</v>
      </c>
      <c r="F175" s="289"/>
      <c r="G175" s="289"/>
      <c r="H175" s="289"/>
      <c r="I175" s="290" t="s">
        <v>205</v>
      </c>
      <c r="J175" s="290"/>
      <c r="K175" s="290"/>
      <c r="L175" s="47">
        <v>33</v>
      </c>
      <c r="M175" s="262">
        <v>32517</v>
      </c>
      <c r="N175" s="47">
        <v>100</v>
      </c>
      <c r="O175" s="291">
        <v>27672.190000000002</v>
      </c>
      <c r="P175" s="291"/>
      <c r="Q175" s="291"/>
      <c r="R175" s="262">
        <v>985.36</v>
      </c>
      <c r="S175" s="262">
        <v>28657.55</v>
      </c>
      <c r="U175" s="149">
        <f t="shared" si="14"/>
        <v>44553</v>
      </c>
      <c r="V175" s="146">
        <f t="shared" si="15"/>
        <v>29</v>
      </c>
      <c r="W175" s="150">
        <f t="shared" si="16"/>
        <v>4</v>
      </c>
      <c r="X175" s="146">
        <f t="shared" si="17"/>
        <v>4</v>
      </c>
    </row>
    <row r="176" spans="1:24" ht="9.75" customHeight="1" x14ac:dyDescent="0.25">
      <c r="A176" s="288">
        <v>96</v>
      </c>
      <c r="B176" s="288"/>
      <c r="D176" s="258" t="s">
        <v>64</v>
      </c>
      <c r="E176" s="289">
        <v>32416</v>
      </c>
      <c r="F176" s="289"/>
      <c r="G176" s="289"/>
      <c r="H176" s="289"/>
      <c r="I176" s="290" t="s">
        <v>205</v>
      </c>
      <c r="J176" s="290"/>
      <c r="K176" s="290"/>
      <c r="L176" s="47">
        <v>33</v>
      </c>
      <c r="M176" s="262">
        <v>28264</v>
      </c>
      <c r="N176" s="47">
        <v>100</v>
      </c>
      <c r="O176" s="291">
        <v>24266.93</v>
      </c>
      <c r="P176" s="291"/>
      <c r="Q176" s="291"/>
      <c r="R176" s="262">
        <v>856.48</v>
      </c>
      <c r="S176" s="262">
        <v>25123.41</v>
      </c>
      <c r="U176" s="149">
        <f t="shared" si="14"/>
        <v>44461</v>
      </c>
      <c r="V176" s="146">
        <f t="shared" si="15"/>
        <v>29.25</v>
      </c>
      <c r="W176" s="150">
        <f t="shared" si="16"/>
        <v>3.75</v>
      </c>
      <c r="X176" s="146">
        <f t="shared" si="17"/>
        <v>3.75</v>
      </c>
    </row>
    <row r="177" spans="1:24" ht="9.75" customHeight="1" x14ac:dyDescent="0.25">
      <c r="A177" s="288">
        <v>103</v>
      </c>
      <c r="B177" s="288"/>
      <c r="D177" s="258" t="s">
        <v>64</v>
      </c>
      <c r="E177" s="289">
        <v>33238</v>
      </c>
      <c r="F177" s="289"/>
      <c r="G177" s="289"/>
      <c r="H177" s="289"/>
      <c r="I177" s="290" t="s">
        <v>205</v>
      </c>
      <c r="J177" s="290"/>
      <c r="K177" s="290"/>
      <c r="L177" s="47">
        <v>33</v>
      </c>
      <c r="M177" s="262">
        <v>8754</v>
      </c>
      <c r="N177" s="47">
        <v>100</v>
      </c>
      <c r="O177" s="291">
        <v>6919.13</v>
      </c>
      <c r="P177" s="291"/>
      <c r="Q177" s="291"/>
      <c r="R177" s="262">
        <v>265.27</v>
      </c>
      <c r="S177" s="262">
        <v>7184.4000000000005</v>
      </c>
      <c r="U177" s="149">
        <f t="shared" si="14"/>
        <v>45283</v>
      </c>
      <c r="V177" s="146">
        <f t="shared" si="15"/>
        <v>27</v>
      </c>
      <c r="W177" s="150">
        <f t="shared" si="16"/>
        <v>6</v>
      </c>
      <c r="X177" s="146">
        <f t="shared" si="17"/>
        <v>6</v>
      </c>
    </row>
    <row r="178" spans="1:24" ht="9.75" customHeight="1" x14ac:dyDescent="0.25">
      <c r="A178" s="288">
        <v>104</v>
      </c>
      <c r="B178" s="288"/>
      <c r="D178" s="258" t="s">
        <v>64</v>
      </c>
      <c r="E178" s="289">
        <v>33146</v>
      </c>
      <c r="F178" s="289"/>
      <c r="G178" s="289"/>
      <c r="H178" s="289"/>
      <c r="I178" s="290" t="s">
        <v>205</v>
      </c>
      <c r="J178" s="290"/>
      <c r="K178" s="290"/>
      <c r="L178" s="47">
        <v>33</v>
      </c>
      <c r="M178" s="262">
        <v>21438</v>
      </c>
      <c r="N178" s="47">
        <v>100</v>
      </c>
      <c r="O178" s="291">
        <v>17107.189999999999</v>
      </c>
      <c r="P178" s="291"/>
      <c r="Q178" s="291"/>
      <c r="R178" s="262">
        <v>649.64</v>
      </c>
      <c r="S178" s="262">
        <v>17756.830000000002</v>
      </c>
      <c r="U178" s="149">
        <f t="shared" si="14"/>
        <v>45191</v>
      </c>
      <c r="V178" s="146">
        <f t="shared" si="15"/>
        <v>27.25</v>
      </c>
      <c r="W178" s="150">
        <f t="shared" si="16"/>
        <v>5.75</v>
      </c>
      <c r="X178" s="146">
        <f t="shared" si="17"/>
        <v>5.75</v>
      </c>
    </row>
    <row r="179" spans="1:24" ht="9.75" customHeight="1" x14ac:dyDescent="0.25">
      <c r="A179" s="288">
        <v>105</v>
      </c>
      <c r="B179" s="288"/>
      <c r="D179" s="258" t="s">
        <v>64</v>
      </c>
      <c r="E179" s="289">
        <v>32963</v>
      </c>
      <c r="F179" s="289"/>
      <c r="G179" s="289"/>
      <c r="H179" s="289"/>
      <c r="I179" s="290" t="s">
        <v>205</v>
      </c>
      <c r="J179" s="290"/>
      <c r="K179" s="290"/>
      <c r="L179" s="47">
        <v>33</v>
      </c>
      <c r="M179" s="262">
        <v>124</v>
      </c>
      <c r="N179" s="47">
        <v>100</v>
      </c>
      <c r="O179" s="291">
        <v>100.89</v>
      </c>
      <c r="P179" s="291"/>
      <c r="Q179" s="291"/>
      <c r="R179" s="262">
        <v>3.7600000000000002</v>
      </c>
      <c r="S179" s="262">
        <v>104.65</v>
      </c>
      <c r="U179" s="149">
        <f t="shared" si="14"/>
        <v>45008</v>
      </c>
      <c r="V179" s="146">
        <f t="shared" si="15"/>
        <v>27.75</v>
      </c>
      <c r="W179" s="150">
        <f t="shared" si="16"/>
        <v>5.25</v>
      </c>
      <c r="X179" s="146">
        <f t="shared" si="17"/>
        <v>5.25</v>
      </c>
    </row>
    <row r="180" spans="1:24" ht="9.75" customHeight="1" x14ac:dyDescent="0.25">
      <c r="A180" s="288">
        <v>117</v>
      </c>
      <c r="B180" s="288"/>
      <c r="D180" s="258" t="s">
        <v>64</v>
      </c>
      <c r="E180" s="289">
        <v>33327</v>
      </c>
      <c r="F180" s="289"/>
      <c r="G180" s="289"/>
      <c r="H180" s="289"/>
      <c r="I180" s="290" t="s">
        <v>205</v>
      </c>
      <c r="J180" s="290"/>
      <c r="K180" s="290"/>
      <c r="L180" s="47">
        <v>33</v>
      </c>
      <c r="M180" s="262">
        <v>222</v>
      </c>
      <c r="N180" s="47">
        <v>100</v>
      </c>
      <c r="O180" s="291">
        <v>173.86</v>
      </c>
      <c r="P180" s="291"/>
      <c r="Q180" s="291"/>
      <c r="R180" s="262">
        <v>6.73</v>
      </c>
      <c r="S180" s="262">
        <v>180.59</v>
      </c>
      <c r="U180" s="149">
        <f t="shared" si="14"/>
        <v>45372</v>
      </c>
      <c r="V180" s="146">
        <f t="shared" si="15"/>
        <v>26.75</v>
      </c>
      <c r="W180" s="150">
        <f t="shared" si="16"/>
        <v>6.25</v>
      </c>
      <c r="X180" s="146">
        <f t="shared" si="17"/>
        <v>6.25</v>
      </c>
    </row>
    <row r="181" spans="1:24" ht="9.75" customHeight="1" x14ac:dyDescent="0.25">
      <c r="A181" s="288">
        <v>118</v>
      </c>
      <c r="B181" s="288"/>
      <c r="D181" s="258" t="s">
        <v>64</v>
      </c>
      <c r="E181" s="289">
        <v>33419</v>
      </c>
      <c r="F181" s="289"/>
      <c r="G181" s="289"/>
      <c r="H181" s="289"/>
      <c r="I181" s="290" t="s">
        <v>205</v>
      </c>
      <c r="J181" s="290"/>
      <c r="K181" s="290"/>
      <c r="L181" s="47">
        <v>33</v>
      </c>
      <c r="M181" s="262">
        <v>139158</v>
      </c>
      <c r="N181" s="47">
        <v>100</v>
      </c>
      <c r="O181" s="291">
        <v>110687.49</v>
      </c>
      <c r="P181" s="291"/>
      <c r="Q181" s="291"/>
      <c r="R181" s="262">
        <v>4216.91</v>
      </c>
      <c r="S181" s="262">
        <v>114904.40000000001</v>
      </c>
      <c r="U181" s="149">
        <f t="shared" si="14"/>
        <v>45464</v>
      </c>
      <c r="V181" s="146">
        <f t="shared" si="15"/>
        <v>26.5</v>
      </c>
      <c r="W181" s="150">
        <f t="shared" si="16"/>
        <v>6.5</v>
      </c>
      <c r="X181" s="146">
        <f t="shared" si="17"/>
        <v>6.5</v>
      </c>
    </row>
    <row r="182" spans="1:24" ht="9.75" customHeight="1" x14ac:dyDescent="0.25">
      <c r="A182" s="288">
        <v>119</v>
      </c>
      <c r="B182" s="288"/>
      <c r="D182" s="258" t="s">
        <v>64</v>
      </c>
      <c r="E182" s="289">
        <v>33511</v>
      </c>
      <c r="F182" s="289"/>
      <c r="G182" s="289"/>
      <c r="H182" s="289"/>
      <c r="I182" s="290" t="s">
        <v>205</v>
      </c>
      <c r="J182" s="290"/>
      <c r="K182" s="290"/>
      <c r="L182" s="47">
        <v>33</v>
      </c>
      <c r="M182" s="262">
        <v>2853</v>
      </c>
      <c r="N182" s="47">
        <v>100</v>
      </c>
      <c r="O182" s="291">
        <v>2190.0700000000002</v>
      </c>
      <c r="P182" s="291"/>
      <c r="Q182" s="291"/>
      <c r="R182" s="262">
        <v>86.45</v>
      </c>
      <c r="S182" s="262">
        <v>2276.52</v>
      </c>
      <c r="U182" s="149">
        <f t="shared" si="14"/>
        <v>45556</v>
      </c>
      <c r="V182" s="146">
        <f t="shared" si="15"/>
        <v>26.25</v>
      </c>
      <c r="W182" s="150">
        <f t="shared" si="16"/>
        <v>6.75</v>
      </c>
      <c r="X182" s="146">
        <f t="shared" si="17"/>
        <v>6.75</v>
      </c>
    </row>
    <row r="183" spans="1:24" ht="9.75" customHeight="1" x14ac:dyDescent="0.25">
      <c r="A183" s="288">
        <v>131</v>
      </c>
      <c r="B183" s="288"/>
      <c r="D183" s="258" t="s">
        <v>64</v>
      </c>
      <c r="E183" s="289">
        <v>33603</v>
      </c>
      <c r="F183" s="289"/>
      <c r="G183" s="289"/>
      <c r="H183" s="289"/>
      <c r="I183" s="290" t="s">
        <v>205</v>
      </c>
      <c r="J183" s="290"/>
      <c r="K183" s="290"/>
      <c r="L183" s="47">
        <v>33</v>
      </c>
      <c r="M183" s="262">
        <v>5960</v>
      </c>
      <c r="N183" s="47">
        <v>100</v>
      </c>
      <c r="O183" s="291">
        <v>4530.3</v>
      </c>
      <c r="P183" s="291"/>
      <c r="Q183" s="291"/>
      <c r="R183" s="262">
        <v>180.61</v>
      </c>
      <c r="S183" s="262">
        <v>4710.91</v>
      </c>
      <c r="U183" s="149">
        <f t="shared" si="14"/>
        <v>45648</v>
      </c>
      <c r="V183" s="146">
        <f t="shared" si="15"/>
        <v>26</v>
      </c>
      <c r="W183" s="150">
        <f t="shared" si="16"/>
        <v>7</v>
      </c>
      <c r="X183" s="146">
        <f t="shared" si="17"/>
        <v>7</v>
      </c>
    </row>
    <row r="184" spans="1:24" ht="9.75" customHeight="1" x14ac:dyDescent="0.25">
      <c r="A184" s="288">
        <v>137</v>
      </c>
      <c r="B184" s="288"/>
      <c r="D184" s="258" t="s">
        <v>266</v>
      </c>
      <c r="E184" s="289">
        <v>33635</v>
      </c>
      <c r="F184" s="289"/>
      <c r="G184" s="289"/>
      <c r="H184" s="289"/>
      <c r="I184" s="290" t="s">
        <v>205</v>
      </c>
      <c r="J184" s="290"/>
      <c r="K184" s="290"/>
      <c r="L184" s="47">
        <v>33</v>
      </c>
      <c r="M184" s="262">
        <v>484</v>
      </c>
      <c r="N184" s="47">
        <v>100</v>
      </c>
      <c r="O184" s="291">
        <v>365.52</v>
      </c>
      <c r="P184" s="291"/>
      <c r="Q184" s="291"/>
      <c r="R184" s="262">
        <v>14.67</v>
      </c>
      <c r="S184" s="262">
        <v>380.19</v>
      </c>
      <c r="U184" s="149">
        <f t="shared" si="14"/>
        <v>45680</v>
      </c>
      <c r="V184" s="146">
        <f t="shared" si="15"/>
        <v>25.916666666666668</v>
      </c>
      <c r="W184" s="150">
        <f t="shared" si="16"/>
        <v>7.0833333333333321</v>
      </c>
      <c r="X184" s="146">
        <f t="shared" si="17"/>
        <v>7.0833333333333321</v>
      </c>
    </row>
    <row r="185" spans="1:24" ht="9.75" customHeight="1" x14ac:dyDescent="0.25">
      <c r="A185" s="288">
        <v>138</v>
      </c>
      <c r="B185" s="288"/>
      <c r="D185" s="258" t="s">
        <v>267</v>
      </c>
      <c r="E185" s="289">
        <v>33725</v>
      </c>
      <c r="F185" s="289"/>
      <c r="G185" s="289"/>
      <c r="H185" s="289"/>
      <c r="I185" s="290" t="s">
        <v>205</v>
      </c>
      <c r="J185" s="290"/>
      <c r="K185" s="290"/>
      <c r="L185" s="47">
        <v>33</v>
      </c>
      <c r="M185" s="262">
        <v>415</v>
      </c>
      <c r="N185" s="47">
        <v>100</v>
      </c>
      <c r="O185" s="291">
        <v>310.3</v>
      </c>
      <c r="P185" s="291"/>
      <c r="Q185" s="291"/>
      <c r="R185" s="262">
        <v>12.58</v>
      </c>
      <c r="S185" s="262">
        <v>322.88</v>
      </c>
      <c r="U185" s="149">
        <f t="shared" si="14"/>
        <v>45770</v>
      </c>
      <c r="V185" s="146">
        <f t="shared" si="15"/>
        <v>25.666666666666668</v>
      </c>
      <c r="W185" s="150">
        <f t="shared" si="16"/>
        <v>7.3333333333333321</v>
      </c>
      <c r="X185" s="146">
        <f t="shared" si="17"/>
        <v>7.3333333333333321</v>
      </c>
    </row>
    <row r="186" spans="1:24" ht="9.75" customHeight="1" x14ac:dyDescent="0.25">
      <c r="A186" s="288">
        <v>139</v>
      </c>
      <c r="B186" s="288"/>
      <c r="D186" s="258" t="s">
        <v>268</v>
      </c>
      <c r="E186" s="289">
        <v>33817</v>
      </c>
      <c r="F186" s="289"/>
      <c r="G186" s="289"/>
      <c r="H186" s="289"/>
      <c r="I186" s="290" t="s">
        <v>205</v>
      </c>
      <c r="J186" s="290"/>
      <c r="K186" s="290"/>
      <c r="L186" s="47">
        <v>33</v>
      </c>
      <c r="M186" s="262">
        <v>2310</v>
      </c>
      <c r="N186" s="47">
        <v>100</v>
      </c>
      <c r="O186" s="291">
        <v>1709.17</v>
      </c>
      <c r="P186" s="291"/>
      <c r="Q186" s="291"/>
      <c r="R186" s="262">
        <v>70</v>
      </c>
      <c r="S186" s="262">
        <v>1779.17</v>
      </c>
      <c r="U186" s="149">
        <f t="shared" si="14"/>
        <v>45862</v>
      </c>
      <c r="V186" s="146">
        <f t="shared" si="15"/>
        <v>25.416666666666668</v>
      </c>
      <c r="W186" s="150">
        <f t="shared" si="16"/>
        <v>7.5833333333333321</v>
      </c>
      <c r="X186" s="146">
        <f t="shared" si="17"/>
        <v>7.5833333333333321</v>
      </c>
    </row>
    <row r="187" spans="1:24" ht="9.75" customHeight="1" x14ac:dyDescent="0.25">
      <c r="A187" s="288">
        <v>140</v>
      </c>
      <c r="B187" s="288"/>
      <c r="D187" s="258" t="s">
        <v>269</v>
      </c>
      <c r="E187" s="289">
        <v>33878</v>
      </c>
      <c r="F187" s="289"/>
      <c r="G187" s="289"/>
      <c r="H187" s="289"/>
      <c r="I187" s="290" t="s">
        <v>205</v>
      </c>
      <c r="J187" s="290"/>
      <c r="K187" s="290"/>
      <c r="L187" s="47">
        <v>33</v>
      </c>
      <c r="M187" s="262">
        <v>464</v>
      </c>
      <c r="N187" s="47">
        <v>100</v>
      </c>
      <c r="O187" s="291">
        <v>340.96</v>
      </c>
      <c r="P187" s="291"/>
      <c r="Q187" s="291"/>
      <c r="R187" s="262">
        <v>14.06</v>
      </c>
      <c r="S187" s="262">
        <v>355.02</v>
      </c>
      <c r="U187" s="149">
        <f t="shared" si="14"/>
        <v>45923</v>
      </c>
      <c r="V187" s="146">
        <f t="shared" si="15"/>
        <v>25.25</v>
      </c>
      <c r="W187" s="150">
        <f t="shared" si="16"/>
        <v>7.75</v>
      </c>
      <c r="X187" s="146">
        <f t="shared" si="17"/>
        <v>7.75</v>
      </c>
    </row>
    <row r="188" spans="1:24" ht="9.75" customHeight="1" x14ac:dyDescent="0.25">
      <c r="A188" s="288">
        <v>157</v>
      </c>
      <c r="B188" s="288"/>
      <c r="D188" s="258" t="s">
        <v>269</v>
      </c>
      <c r="E188" s="289">
        <v>33939</v>
      </c>
      <c r="F188" s="289"/>
      <c r="G188" s="289"/>
      <c r="H188" s="289"/>
      <c r="I188" s="290" t="s">
        <v>205</v>
      </c>
      <c r="J188" s="290"/>
      <c r="K188" s="290"/>
      <c r="L188" s="47">
        <v>33</v>
      </c>
      <c r="M188" s="262">
        <v>1831</v>
      </c>
      <c r="N188" s="47">
        <v>100</v>
      </c>
      <c r="O188" s="291">
        <v>1336.14</v>
      </c>
      <c r="P188" s="291"/>
      <c r="Q188" s="291"/>
      <c r="R188" s="262">
        <v>55.480000000000004</v>
      </c>
      <c r="S188" s="262">
        <v>1391.6200000000001</v>
      </c>
      <c r="U188" s="149">
        <f t="shared" si="14"/>
        <v>45984</v>
      </c>
      <c r="V188" s="146">
        <f t="shared" si="15"/>
        <v>25.083333333333332</v>
      </c>
      <c r="W188" s="150">
        <f t="shared" si="16"/>
        <v>7.9166666666666679</v>
      </c>
      <c r="X188" s="146">
        <f t="shared" si="17"/>
        <v>7.9166666666666679</v>
      </c>
    </row>
    <row r="189" spans="1:24" ht="9.75" customHeight="1" x14ac:dyDescent="0.25">
      <c r="A189" s="288">
        <v>162</v>
      </c>
      <c r="B189" s="288"/>
      <c r="D189" s="258" t="s">
        <v>270</v>
      </c>
      <c r="E189" s="289">
        <v>34029</v>
      </c>
      <c r="F189" s="289"/>
      <c r="G189" s="289"/>
      <c r="H189" s="289"/>
      <c r="I189" s="290" t="s">
        <v>205</v>
      </c>
      <c r="J189" s="290"/>
      <c r="K189" s="290"/>
      <c r="L189" s="47">
        <v>33</v>
      </c>
      <c r="M189" s="262">
        <v>531</v>
      </c>
      <c r="N189" s="47">
        <v>100</v>
      </c>
      <c r="O189" s="291">
        <v>383.48</v>
      </c>
      <c r="P189" s="291"/>
      <c r="Q189" s="291"/>
      <c r="R189" s="262">
        <v>16.09</v>
      </c>
      <c r="S189" s="262">
        <v>399.57</v>
      </c>
      <c r="U189" s="149">
        <f t="shared" si="14"/>
        <v>46074</v>
      </c>
      <c r="V189" s="146">
        <f t="shared" si="15"/>
        <v>24.833333333333332</v>
      </c>
      <c r="W189" s="150">
        <f t="shared" si="16"/>
        <v>8.1666666666666679</v>
      </c>
      <c r="X189" s="146">
        <f t="shared" si="17"/>
        <v>8.1666666666666679</v>
      </c>
    </row>
    <row r="190" spans="1:24" ht="9.75" customHeight="1" x14ac:dyDescent="0.25">
      <c r="A190" s="288">
        <v>166</v>
      </c>
      <c r="B190" s="288"/>
      <c r="D190" s="258" t="s">
        <v>271</v>
      </c>
      <c r="E190" s="289">
        <v>34121</v>
      </c>
      <c r="F190" s="289"/>
      <c r="G190" s="289"/>
      <c r="H190" s="289"/>
      <c r="I190" s="290" t="s">
        <v>205</v>
      </c>
      <c r="J190" s="290"/>
      <c r="K190" s="290"/>
      <c r="L190" s="47">
        <v>33</v>
      </c>
      <c r="M190" s="262">
        <v>1275</v>
      </c>
      <c r="N190" s="47">
        <v>100</v>
      </c>
      <c r="O190" s="291">
        <v>911.26</v>
      </c>
      <c r="P190" s="291"/>
      <c r="Q190" s="291"/>
      <c r="R190" s="262">
        <v>38.64</v>
      </c>
      <c r="S190" s="262">
        <v>949.9</v>
      </c>
      <c r="U190" s="149">
        <f t="shared" si="14"/>
        <v>46166</v>
      </c>
      <c r="V190" s="146">
        <f t="shared" si="15"/>
        <v>24.583333333333332</v>
      </c>
      <c r="W190" s="150">
        <f t="shared" si="16"/>
        <v>8.4166666666666679</v>
      </c>
      <c r="X190" s="146">
        <f t="shared" si="17"/>
        <v>8.4166666666666679</v>
      </c>
    </row>
    <row r="191" spans="1:24" ht="9.75" customHeight="1" x14ac:dyDescent="0.25">
      <c r="A191" s="288">
        <v>169</v>
      </c>
      <c r="B191" s="288"/>
      <c r="D191" s="258" t="s">
        <v>272</v>
      </c>
      <c r="E191" s="289">
        <v>34213</v>
      </c>
      <c r="F191" s="289"/>
      <c r="G191" s="289"/>
      <c r="H191" s="289"/>
      <c r="I191" s="290" t="s">
        <v>205</v>
      </c>
      <c r="J191" s="290"/>
      <c r="K191" s="290"/>
      <c r="L191" s="47">
        <v>33</v>
      </c>
      <c r="M191" s="262">
        <v>23056</v>
      </c>
      <c r="N191" s="47">
        <v>100</v>
      </c>
      <c r="O191" s="291">
        <v>16302.300000000001</v>
      </c>
      <c r="P191" s="291"/>
      <c r="Q191" s="291"/>
      <c r="R191" s="262">
        <v>698.67</v>
      </c>
      <c r="S191" s="262">
        <v>17000.97</v>
      </c>
      <c r="U191" s="149">
        <f t="shared" si="14"/>
        <v>46258</v>
      </c>
      <c r="V191" s="146">
        <f t="shared" si="15"/>
        <v>24.333333333333332</v>
      </c>
      <c r="W191" s="150">
        <f t="shared" si="16"/>
        <v>8.6666666666666679</v>
      </c>
      <c r="X191" s="146">
        <f t="shared" si="17"/>
        <v>8.6666666666666679</v>
      </c>
    </row>
    <row r="192" spans="1:24" ht="9.75" customHeight="1" x14ac:dyDescent="0.25">
      <c r="A192" s="288">
        <v>170</v>
      </c>
      <c r="B192" s="288"/>
      <c r="D192" s="258" t="s">
        <v>273</v>
      </c>
      <c r="E192" s="289">
        <v>34304</v>
      </c>
      <c r="F192" s="289"/>
      <c r="G192" s="289"/>
      <c r="H192" s="289"/>
      <c r="I192" s="290" t="s">
        <v>205</v>
      </c>
      <c r="J192" s="290"/>
      <c r="K192" s="290"/>
      <c r="L192" s="47">
        <v>33</v>
      </c>
      <c r="M192" s="262">
        <v>12151</v>
      </c>
      <c r="N192" s="47">
        <v>100</v>
      </c>
      <c r="O192" s="291">
        <v>8499.51</v>
      </c>
      <c r="P192" s="291"/>
      <c r="Q192" s="291"/>
      <c r="R192" s="262">
        <v>368.21</v>
      </c>
      <c r="S192" s="262">
        <v>8867.7199999999993</v>
      </c>
      <c r="U192" s="149">
        <f t="shared" si="14"/>
        <v>46349</v>
      </c>
      <c r="V192" s="146">
        <f t="shared" si="15"/>
        <v>24.083333333333332</v>
      </c>
      <c r="W192" s="150">
        <f t="shared" si="16"/>
        <v>8.9166666666666679</v>
      </c>
      <c r="X192" s="146">
        <f t="shared" si="17"/>
        <v>8.9166666666666679</v>
      </c>
    </row>
    <row r="193" spans="1:24" ht="9.75" customHeight="1" x14ac:dyDescent="0.25">
      <c r="A193" s="288">
        <v>176</v>
      </c>
      <c r="B193" s="288"/>
      <c r="D193" s="258" t="s">
        <v>274</v>
      </c>
      <c r="E193" s="289">
        <v>34335</v>
      </c>
      <c r="F193" s="289"/>
      <c r="G193" s="289"/>
      <c r="H193" s="289"/>
      <c r="I193" s="290" t="s">
        <v>205</v>
      </c>
      <c r="J193" s="290"/>
      <c r="K193" s="290"/>
      <c r="L193" s="47">
        <v>33</v>
      </c>
      <c r="M193" s="262">
        <v>3414</v>
      </c>
      <c r="N193" s="47">
        <v>100</v>
      </c>
      <c r="O193" s="291">
        <v>2379.35</v>
      </c>
      <c r="P193" s="291"/>
      <c r="Q193" s="291"/>
      <c r="R193" s="262">
        <v>103.45</v>
      </c>
      <c r="S193" s="262">
        <v>2482.8000000000002</v>
      </c>
      <c r="U193" s="149">
        <f t="shared" si="14"/>
        <v>46380</v>
      </c>
      <c r="V193" s="146">
        <f t="shared" si="15"/>
        <v>24</v>
      </c>
      <c r="W193" s="150">
        <f t="shared" si="16"/>
        <v>9</v>
      </c>
      <c r="X193" s="146">
        <f t="shared" si="17"/>
        <v>9</v>
      </c>
    </row>
    <row r="194" spans="1:24" ht="9.75" customHeight="1" x14ac:dyDescent="0.25">
      <c r="A194" s="288">
        <v>177</v>
      </c>
      <c r="B194" s="288"/>
      <c r="D194" s="258" t="s">
        <v>275</v>
      </c>
      <c r="E194" s="289">
        <v>34516</v>
      </c>
      <c r="F194" s="289"/>
      <c r="G194" s="289"/>
      <c r="H194" s="289"/>
      <c r="I194" s="290" t="s">
        <v>205</v>
      </c>
      <c r="J194" s="290"/>
      <c r="K194" s="290"/>
      <c r="L194" s="47">
        <v>33</v>
      </c>
      <c r="M194" s="262">
        <v>40479</v>
      </c>
      <c r="N194" s="47">
        <v>100</v>
      </c>
      <c r="O194" s="291">
        <v>27599.4</v>
      </c>
      <c r="P194" s="291"/>
      <c r="Q194" s="291"/>
      <c r="R194" s="262">
        <v>1226.6400000000001</v>
      </c>
      <c r="S194" s="262">
        <v>28826.04</v>
      </c>
      <c r="U194" s="149">
        <f t="shared" si="14"/>
        <v>46561</v>
      </c>
      <c r="V194" s="146">
        <f t="shared" si="15"/>
        <v>23.5</v>
      </c>
      <c r="W194" s="150">
        <f t="shared" si="16"/>
        <v>9.5</v>
      </c>
      <c r="X194" s="146">
        <f t="shared" si="17"/>
        <v>9.5</v>
      </c>
    </row>
    <row r="195" spans="1:24" ht="9.75" customHeight="1" x14ac:dyDescent="0.25">
      <c r="A195" s="288">
        <v>178</v>
      </c>
      <c r="B195" s="288"/>
      <c r="D195" s="258" t="s">
        <v>276</v>
      </c>
      <c r="E195" s="289">
        <v>34608</v>
      </c>
      <c r="F195" s="289"/>
      <c r="G195" s="289"/>
      <c r="H195" s="289"/>
      <c r="I195" s="290" t="s">
        <v>205</v>
      </c>
      <c r="J195" s="290"/>
      <c r="K195" s="290"/>
      <c r="L195" s="47">
        <v>33</v>
      </c>
      <c r="M195" s="262">
        <v>38710</v>
      </c>
      <c r="N195" s="47">
        <v>100</v>
      </c>
      <c r="O195" s="291">
        <v>26099.920000000002</v>
      </c>
      <c r="P195" s="291"/>
      <c r="Q195" s="291"/>
      <c r="R195" s="262">
        <v>1173.03</v>
      </c>
      <c r="S195" s="262">
        <v>27272.95</v>
      </c>
      <c r="U195" s="149">
        <f t="shared" si="14"/>
        <v>46653</v>
      </c>
      <c r="V195" s="146">
        <f t="shared" si="15"/>
        <v>23.25</v>
      </c>
      <c r="W195" s="150">
        <f t="shared" si="16"/>
        <v>9.75</v>
      </c>
      <c r="X195" s="146">
        <f t="shared" si="17"/>
        <v>9.75</v>
      </c>
    </row>
    <row r="196" spans="1:24" ht="9.75" customHeight="1" x14ac:dyDescent="0.25">
      <c r="A196" s="288">
        <v>197</v>
      </c>
      <c r="B196" s="288"/>
      <c r="D196" s="258" t="s">
        <v>277</v>
      </c>
      <c r="E196" s="289">
        <v>34700</v>
      </c>
      <c r="F196" s="289"/>
      <c r="G196" s="289"/>
      <c r="H196" s="289"/>
      <c r="I196" s="290" t="s">
        <v>205</v>
      </c>
      <c r="J196" s="290"/>
      <c r="K196" s="290"/>
      <c r="L196" s="47">
        <v>33</v>
      </c>
      <c r="M196" s="262">
        <v>53067</v>
      </c>
      <c r="N196" s="47">
        <v>100</v>
      </c>
      <c r="O196" s="291">
        <v>50756.78</v>
      </c>
      <c r="P196" s="291"/>
      <c r="Q196" s="291"/>
      <c r="R196" s="262">
        <v>1608.0900000000001</v>
      </c>
      <c r="S196" s="262">
        <v>52364.87</v>
      </c>
      <c r="U196" s="149">
        <f t="shared" si="14"/>
        <v>46745</v>
      </c>
      <c r="V196" s="146">
        <f t="shared" si="15"/>
        <v>23</v>
      </c>
      <c r="W196" s="150">
        <f t="shared" si="16"/>
        <v>10</v>
      </c>
      <c r="X196" s="146">
        <f t="shared" si="17"/>
        <v>10</v>
      </c>
    </row>
    <row r="197" spans="1:24" ht="9.75" customHeight="1" x14ac:dyDescent="0.25">
      <c r="A197" s="288">
        <v>198</v>
      </c>
      <c r="B197" s="288"/>
      <c r="D197" s="258" t="s">
        <v>278</v>
      </c>
      <c r="E197" s="289">
        <v>34881</v>
      </c>
      <c r="F197" s="289"/>
      <c r="G197" s="289"/>
      <c r="H197" s="289"/>
      <c r="I197" s="290" t="s">
        <v>205</v>
      </c>
      <c r="J197" s="290"/>
      <c r="K197" s="290"/>
      <c r="L197" s="47">
        <v>33</v>
      </c>
      <c r="M197" s="262">
        <v>26539</v>
      </c>
      <c r="N197" s="47">
        <v>100</v>
      </c>
      <c r="O197" s="291">
        <v>17290.52</v>
      </c>
      <c r="P197" s="291"/>
      <c r="Q197" s="291"/>
      <c r="R197" s="262">
        <v>804.21</v>
      </c>
      <c r="S197" s="262">
        <v>18094.73</v>
      </c>
      <c r="U197" s="149">
        <f t="shared" si="14"/>
        <v>46926</v>
      </c>
      <c r="V197" s="146">
        <f t="shared" si="15"/>
        <v>22.5</v>
      </c>
      <c r="W197" s="150">
        <f t="shared" si="16"/>
        <v>10.5</v>
      </c>
      <c r="X197" s="146">
        <f t="shared" si="17"/>
        <v>10.5</v>
      </c>
    </row>
    <row r="198" spans="1:24" ht="9.75" customHeight="1" x14ac:dyDescent="0.25">
      <c r="A198" s="288">
        <v>199</v>
      </c>
      <c r="B198" s="288"/>
      <c r="D198" s="258" t="s">
        <v>279</v>
      </c>
      <c r="E198" s="289">
        <v>34973</v>
      </c>
      <c r="F198" s="289"/>
      <c r="G198" s="289"/>
      <c r="H198" s="289"/>
      <c r="I198" s="290" t="s">
        <v>205</v>
      </c>
      <c r="J198" s="290"/>
      <c r="K198" s="290"/>
      <c r="L198" s="47">
        <v>33</v>
      </c>
      <c r="M198" s="262">
        <v>36706</v>
      </c>
      <c r="N198" s="47">
        <v>100</v>
      </c>
      <c r="O198" s="291">
        <v>23636.38</v>
      </c>
      <c r="P198" s="291"/>
      <c r="Q198" s="291"/>
      <c r="R198" s="262">
        <v>1112.3</v>
      </c>
      <c r="S198" s="262">
        <v>24748.68</v>
      </c>
      <c r="U198" s="149">
        <f t="shared" si="14"/>
        <v>47018</v>
      </c>
      <c r="V198" s="146">
        <f t="shared" si="15"/>
        <v>22.25</v>
      </c>
      <c r="W198" s="150">
        <f t="shared" si="16"/>
        <v>10.75</v>
      </c>
      <c r="X198" s="146">
        <f t="shared" si="17"/>
        <v>10.75</v>
      </c>
    </row>
    <row r="199" spans="1:24" ht="9.75" customHeight="1" x14ac:dyDescent="0.25">
      <c r="A199" s="288">
        <v>217</v>
      </c>
      <c r="B199" s="288"/>
      <c r="D199" s="258" t="s">
        <v>280</v>
      </c>
      <c r="E199" s="289">
        <v>35065</v>
      </c>
      <c r="F199" s="289"/>
      <c r="G199" s="289"/>
      <c r="H199" s="289"/>
      <c r="I199" s="290" t="s">
        <v>205</v>
      </c>
      <c r="J199" s="290"/>
      <c r="K199" s="290"/>
      <c r="L199" s="47">
        <v>33</v>
      </c>
      <c r="M199" s="262">
        <v>172</v>
      </c>
      <c r="N199" s="47">
        <v>100</v>
      </c>
      <c r="O199" s="291">
        <v>109.41</v>
      </c>
      <c r="P199" s="291"/>
      <c r="Q199" s="291"/>
      <c r="R199" s="262">
        <v>5.21</v>
      </c>
      <c r="S199" s="262">
        <v>114.62</v>
      </c>
      <c r="U199" s="149">
        <f t="shared" si="14"/>
        <v>47110</v>
      </c>
      <c r="V199" s="146">
        <f t="shared" si="15"/>
        <v>22</v>
      </c>
      <c r="W199" s="150">
        <f t="shared" si="16"/>
        <v>11</v>
      </c>
      <c r="X199" s="146">
        <f t="shared" si="17"/>
        <v>11</v>
      </c>
    </row>
    <row r="200" spans="1:24" ht="9.75" customHeight="1" x14ac:dyDescent="0.25">
      <c r="A200" s="288">
        <v>218</v>
      </c>
      <c r="B200" s="288"/>
      <c r="D200" s="258" t="s">
        <v>281</v>
      </c>
      <c r="E200" s="289">
        <v>35156</v>
      </c>
      <c r="F200" s="289"/>
      <c r="G200" s="289"/>
      <c r="H200" s="289"/>
      <c r="I200" s="290" t="s">
        <v>205</v>
      </c>
      <c r="J200" s="290"/>
      <c r="K200" s="290"/>
      <c r="L200" s="47">
        <v>33</v>
      </c>
      <c r="M200" s="262">
        <v>2534</v>
      </c>
      <c r="N200" s="47">
        <v>100</v>
      </c>
      <c r="O200" s="291">
        <v>1593.39</v>
      </c>
      <c r="P200" s="291"/>
      <c r="Q200" s="291"/>
      <c r="R200" s="262">
        <v>76.790000000000006</v>
      </c>
      <c r="S200" s="262">
        <v>1670.18</v>
      </c>
      <c r="U200" s="149">
        <f t="shared" si="14"/>
        <v>47201</v>
      </c>
      <c r="V200" s="146">
        <f t="shared" si="15"/>
        <v>21.75</v>
      </c>
      <c r="W200" s="150">
        <f t="shared" si="16"/>
        <v>11.25</v>
      </c>
      <c r="X200" s="146">
        <f t="shared" si="17"/>
        <v>11.25</v>
      </c>
    </row>
    <row r="201" spans="1:24" ht="9.75" customHeight="1" x14ac:dyDescent="0.25">
      <c r="A201" s="288">
        <v>219</v>
      </c>
      <c r="B201" s="288"/>
      <c r="D201" s="258" t="s">
        <v>282</v>
      </c>
      <c r="E201" s="289">
        <v>35247</v>
      </c>
      <c r="F201" s="289"/>
      <c r="G201" s="289"/>
      <c r="H201" s="289"/>
      <c r="I201" s="290" t="s">
        <v>205</v>
      </c>
      <c r="J201" s="290"/>
      <c r="K201" s="290"/>
      <c r="L201" s="47">
        <v>33</v>
      </c>
      <c r="M201" s="262">
        <v>45246</v>
      </c>
      <c r="N201" s="47">
        <v>100</v>
      </c>
      <c r="O201" s="291">
        <v>44281.590000000004</v>
      </c>
      <c r="P201" s="291"/>
      <c r="Q201" s="291"/>
      <c r="R201" s="262">
        <v>964.41</v>
      </c>
      <c r="S201" s="262">
        <v>45246</v>
      </c>
      <c r="U201" s="149">
        <f t="shared" si="14"/>
        <v>47292</v>
      </c>
      <c r="V201" s="146">
        <f t="shared" si="15"/>
        <v>21.5</v>
      </c>
      <c r="W201" s="150">
        <f t="shared" si="16"/>
        <v>11.5</v>
      </c>
      <c r="X201" s="146">
        <f t="shared" si="17"/>
        <v>11.5</v>
      </c>
    </row>
    <row r="202" spans="1:24" ht="9.75" customHeight="1" x14ac:dyDescent="0.25">
      <c r="A202" s="288">
        <v>220</v>
      </c>
      <c r="B202" s="288"/>
      <c r="D202" s="258" t="s">
        <v>283</v>
      </c>
      <c r="E202" s="289">
        <v>35339</v>
      </c>
      <c r="F202" s="289"/>
      <c r="G202" s="289"/>
      <c r="H202" s="289"/>
      <c r="I202" s="290" t="s">
        <v>205</v>
      </c>
      <c r="J202" s="290"/>
      <c r="K202" s="290"/>
      <c r="L202" s="47">
        <v>33</v>
      </c>
      <c r="M202" s="262">
        <v>13060</v>
      </c>
      <c r="N202" s="47">
        <v>100</v>
      </c>
      <c r="O202" s="291">
        <v>8014.14</v>
      </c>
      <c r="P202" s="291"/>
      <c r="Q202" s="291"/>
      <c r="R202" s="262">
        <v>395.76</v>
      </c>
      <c r="S202" s="262">
        <v>8409.9</v>
      </c>
      <c r="U202" s="149">
        <f t="shared" si="14"/>
        <v>47384</v>
      </c>
      <c r="V202" s="146">
        <f t="shared" si="15"/>
        <v>21.25</v>
      </c>
      <c r="W202" s="150">
        <f t="shared" si="16"/>
        <v>11.75</v>
      </c>
      <c r="X202" s="146">
        <f t="shared" si="17"/>
        <v>11.75</v>
      </c>
    </row>
    <row r="203" spans="1:24" ht="9.75" customHeight="1" x14ac:dyDescent="0.25">
      <c r="A203" s="288">
        <v>253</v>
      </c>
      <c r="B203" s="288"/>
      <c r="D203" s="258" t="s">
        <v>284</v>
      </c>
      <c r="E203" s="289">
        <v>36280</v>
      </c>
      <c r="F203" s="289"/>
      <c r="G203" s="289"/>
      <c r="H203" s="289"/>
      <c r="I203" s="290" t="s">
        <v>205</v>
      </c>
      <c r="J203" s="290"/>
      <c r="K203" s="290"/>
      <c r="L203" s="47">
        <v>33</v>
      </c>
      <c r="M203" s="262">
        <v>216.16</v>
      </c>
      <c r="N203" s="47">
        <v>100</v>
      </c>
      <c r="O203" s="291">
        <v>216.16</v>
      </c>
      <c r="P203" s="291"/>
      <c r="Q203" s="291"/>
      <c r="R203" s="262">
        <v>0</v>
      </c>
      <c r="S203" s="262">
        <v>216.16</v>
      </c>
      <c r="U203" s="149">
        <f t="shared" si="14"/>
        <v>48325</v>
      </c>
      <c r="V203" s="146">
        <f t="shared" si="15"/>
        <v>18.666666666666668</v>
      </c>
      <c r="W203" s="150">
        <f t="shared" si="16"/>
        <v>14.333333333333332</v>
      </c>
      <c r="X203" s="146">
        <f t="shared" si="17"/>
        <v>14.333333333333332</v>
      </c>
    </row>
    <row r="204" spans="1:24" ht="9.75" customHeight="1" x14ac:dyDescent="0.25">
      <c r="A204" s="288">
        <v>262</v>
      </c>
      <c r="B204" s="288"/>
      <c r="D204" s="258" t="s">
        <v>284</v>
      </c>
      <c r="E204" s="289">
        <v>36341</v>
      </c>
      <c r="F204" s="289"/>
      <c r="G204" s="289"/>
      <c r="H204" s="289"/>
      <c r="I204" s="290" t="s">
        <v>205</v>
      </c>
      <c r="J204" s="290"/>
      <c r="K204" s="290"/>
      <c r="L204" s="47">
        <v>33</v>
      </c>
      <c r="M204" s="262">
        <v>2630.82</v>
      </c>
      <c r="N204" s="47">
        <v>100</v>
      </c>
      <c r="O204" s="291">
        <v>2630.82</v>
      </c>
      <c r="P204" s="291"/>
      <c r="Q204" s="291"/>
      <c r="R204" s="262">
        <v>0</v>
      </c>
      <c r="S204" s="262">
        <v>2630.82</v>
      </c>
      <c r="U204" s="149">
        <f t="shared" si="14"/>
        <v>48386</v>
      </c>
      <c r="V204" s="146">
        <f t="shared" si="15"/>
        <v>18.5</v>
      </c>
      <c r="W204" s="150">
        <f t="shared" si="16"/>
        <v>14.5</v>
      </c>
      <c r="X204" s="146">
        <f t="shared" si="17"/>
        <v>14.5</v>
      </c>
    </row>
    <row r="205" spans="1:24" ht="9.75" customHeight="1" x14ac:dyDescent="0.25">
      <c r="A205" s="288">
        <v>267</v>
      </c>
      <c r="B205" s="288"/>
      <c r="D205" s="258" t="s">
        <v>285</v>
      </c>
      <c r="E205" s="289">
        <v>36372</v>
      </c>
      <c r="F205" s="289"/>
      <c r="G205" s="289"/>
      <c r="H205" s="289"/>
      <c r="I205" s="290" t="s">
        <v>205</v>
      </c>
      <c r="J205" s="290"/>
      <c r="K205" s="290"/>
      <c r="L205" s="47">
        <v>33</v>
      </c>
      <c r="M205" s="262">
        <v>-396.71000000000004</v>
      </c>
      <c r="N205" s="47">
        <v>100</v>
      </c>
      <c r="O205" s="291">
        <v>-210.35</v>
      </c>
      <c r="P205" s="291"/>
      <c r="Q205" s="291"/>
      <c r="R205" s="262">
        <v>-12.02</v>
      </c>
      <c r="S205" s="262">
        <v>-222.37</v>
      </c>
      <c r="U205" s="149">
        <f t="shared" si="14"/>
        <v>48417</v>
      </c>
      <c r="V205" s="146">
        <f t="shared" si="15"/>
        <v>18.416666666666668</v>
      </c>
      <c r="W205" s="150">
        <f t="shared" si="16"/>
        <v>14.583333333333332</v>
      </c>
      <c r="X205" s="146">
        <f t="shared" si="17"/>
        <v>14.583333333333332</v>
      </c>
    </row>
    <row r="206" spans="1:24" ht="9.75" customHeight="1" x14ac:dyDescent="0.25">
      <c r="A206" s="288">
        <v>268</v>
      </c>
      <c r="B206" s="288"/>
      <c r="D206" s="258" t="s">
        <v>285</v>
      </c>
      <c r="E206" s="289">
        <v>36403</v>
      </c>
      <c r="F206" s="289"/>
      <c r="G206" s="289"/>
      <c r="H206" s="289"/>
      <c r="I206" s="290" t="s">
        <v>205</v>
      </c>
      <c r="J206" s="290"/>
      <c r="K206" s="290"/>
      <c r="L206" s="47">
        <v>33</v>
      </c>
      <c r="M206" s="262">
        <v>20164.79</v>
      </c>
      <c r="N206" s="47">
        <v>100</v>
      </c>
      <c r="O206" s="291">
        <v>10642.460000000001</v>
      </c>
      <c r="P206" s="291"/>
      <c r="Q206" s="291"/>
      <c r="R206" s="262">
        <v>611.04999999999995</v>
      </c>
      <c r="S206" s="262">
        <v>11253.51</v>
      </c>
      <c r="U206" s="149">
        <f t="shared" si="14"/>
        <v>48448</v>
      </c>
      <c r="V206" s="146">
        <f t="shared" si="15"/>
        <v>18.333333333333332</v>
      </c>
      <c r="W206" s="150">
        <f t="shared" si="16"/>
        <v>14.666666666666668</v>
      </c>
      <c r="X206" s="146">
        <f t="shared" si="17"/>
        <v>14.666666666666668</v>
      </c>
    </row>
    <row r="207" spans="1:24" ht="9.75" customHeight="1" x14ac:dyDescent="0.25">
      <c r="A207" s="288">
        <v>272</v>
      </c>
      <c r="B207" s="288"/>
      <c r="D207" s="258" t="s">
        <v>286</v>
      </c>
      <c r="E207" s="289">
        <v>36464</v>
      </c>
      <c r="F207" s="289"/>
      <c r="G207" s="289"/>
      <c r="H207" s="289"/>
      <c r="I207" s="290" t="s">
        <v>205</v>
      </c>
      <c r="J207" s="290"/>
      <c r="K207" s="290"/>
      <c r="L207" s="47">
        <v>33</v>
      </c>
      <c r="M207" s="262">
        <v>938.73</v>
      </c>
      <c r="N207" s="47">
        <v>100</v>
      </c>
      <c r="O207" s="291">
        <v>490.76</v>
      </c>
      <c r="P207" s="291"/>
      <c r="Q207" s="291"/>
      <c r="R207" s="262">
        <v>28.45</v>
      </c>
      <c r="S207" s="262">
        <v>519.21</v>
      </c>
      <c r="U207" s="149">
        <f t="shared" si="14"/>
        <v>48509</v>
      </c>
      <c r="V207" s="146">
        <f t="shared" si="15"/>
        <v>18.166666666666668</v>
      </c>
      <c r="W207" s="150">
        <f t="shared" si="16"/>
        <v>14.833333333333332</v>
      </c>
      <c r="X207" s="146">
        <f t="shared" si="17"/>
        <v>14.833333333333332</v>
      </c>
    </row>
    <row r="208" spans="1:24" ht="9.75" customHeight="1" x14ac:dyDescent="0.25">
      <c r="A208" s="288">
        <v>276</v>
      </c>
      <c r="B208" s="288"/>
      <c r="D208" s="258" t="s">
        <v>64</v>
      </c>
      <c r="E208" s="289">
        <v>36494</v>
      </c>
      <c r="F208" s="289"/>
      <c r="G208" s="289"/>
      <c r="H208" s="289"/>
      <c r="I208" s="290" t="s">
        <v>205</v>
      </c>
      <c r="J208" s="290"/>
      <c r="K208" s="290"/>
      <c r="L208" s="47">
        <v>33</v>
      </c>
      <c r="M208" s="262">
        <v>8050.06</v>
      </c>
      <c r="N208" s="47">
        <v>100</v>
      </c>
      <c r="O208" s="291">
        <v>8050.06</v>
      </c>
      <c r="P208" s="291"/>
      <c r="Q208" s="291"/>
      <c r="R208" s="262">
        <v>0</v>
      </c>
      <c r="S208" s="262">
        <v>8050.06</v>
      </c>
      <c r="U208" s="149">
        <f t="shared" si="14"/>
        <v>48539</v>
      </c>
      <c r="V208" s="146">
        <f t="shared" si="15"/>
        <v>18.083333333333332</v>
      </c>
      <c r="W208" s="150">
        <f t="shared" si="16"/>
        <v>14.916666666666668</v>
      </c>
      <c r="X208" s="146">
        <f t="shared" ref="X208:X241" si="18">IF(W208=0,0,W208)</f>
        <v>14.916666666666668</v>
      </c>
    </row>
    <row r="209" spans="1:24" ht="9.75" customHeight="1" x14ac:dyDescent="0.25">
      <c r="A209" s="288">
        <v>280</v>
      </c>
      <c r="B209" s="288"/>
      <c r="D209" s="258" t="s">
        <v>286</v>
      </c>
      <c r="E209" s="289">
        <v>36525</v>
      </c>
      <c r="F209" s="289"/>
      <c r="G209" s="289"/>
      <c r="H209" s="289"/>
      <c r="I209" s="290" t="s">
        <v>205</v>
      </c>
      <c r="J209" s="290"/>
      <c r="K209" s="290"/>
      <c r="L209" s="47">
        <v>33</v>
      </c>
      <c r="M209" s="262">
        <v>10898.37</v>
      </c>
      <c r="N209" s="47">
        <v>100</v>
      </c>
      <c r="O209" s="291">
        <v>10898.37</v>
      </c>
      <c r="P209" s="291"/>
      <c r="Q209" s="291"/>
      <c r="R209" s="262">
        <v>0</v>
      </c>
      <c r="S209" s="262">
        <v>10898.37</v>
      </c>
      <c r="U209" s="149">
        <f t="shared" si="14"/>
        <v>48570</v>
      </c>
      <c r="V209" s="146">
        <f t="shared" si="15"/>
        <v>18</v>
      </c>
      <c r="W209" s="150">
        <f t="shared" si="16"/>
        <v>15</v>
      </c>
      <c r="X209" s="146">
        <f t="shared" si="18"/>
        <v>15</v>
      </c>
    </row>
    <row r="210" spans="1:24" ht="9.75" customHeight="1" x14ac:dyDescent="0.25">
      <c r="A210" s="288">
        <v>284</v>
      </c>
      <c r="B210" s="288"/>
      <c r="D210" s="258" t="s">
        <v>64</v>
      </c>
      <c r="E210" s="289">
        <v>36556</v>
      </c>
      <c r="F210" s="289"/>
      <c r="G210" s="289"/>
      <c r="H210" s="289"/>
      <c r="I210" s="290" t="s">
        <v>205</v>
      </c>
      <c r="J210" s="290"/>
      <c r="K210" s="290"/>
      <c r="L210" s="47">
        <v>33.299999999999997</v>
      </c>
      <c r="M210" s="262">
        <v>195</v>
      </c>
      <c r="N210" s="47">
        <v>100</v>
      </c>
      <c r="O210" s="291">
        <v>99.62</v>
      </c>
      <c r="P210" s="291"/>
      <c r="Q210" s="291"/>
      <c r="R210" s="262">
        <v>5.86</v>
      </c>
      <c r="S210" s="262">
        <v>105.48</v>
      </c>
      <c r="U210" s="149">
        <f t="shared" si="14"/>
        <v>48710.5</v>
      </c>
      <c r="V210" s="146">
        <f t="shared" si="15"/>
        <v>17.916666666666668</v>
      </c>
      <c r="W210" s="150">
        <f t="shared" si="16"/>
        <v>15.383333333333329</v>
      </c>
      <c r="X210" s="146">
        <f t="shared" si="18"/>
        <v>15.383333333333329</v>
      </c>
    </row>
    <row r="211" spans="1:24" ht="9.75" customHeight="1" x14ac:dyDescent="0.25">
      <c r="A211" s="288">
        <v>289</v>
      </c>
      <c r="B211" s="288"/>
      <c r="D211" s="258" t="s">
        <v>64</v>
      </c>
      <c r="E211" s="289">
        <v>36585</v>
      </c>
      <c r="F211" s="289"/>
      <c r="G211" s="289"/>
      <c r="H211" s="289"/>
      <c r="I211" s="290" t="s">
        <v>205</v>
      </c>
      <c r="J211" s="290"/>
      <c r="K211" s="290"/>
      <c r="L211" s="47">
        <v>33.299999999999997</v>
      </c>
      <c r="M211" s="262">
        <v>442.68</v>
      </c>
      <c r="N211" s="47">
        <v>100</v>
      </c>
      <c r="O211" s="291">
        <v>224.83</v>
      </c>
      <c r="P211" s="291"/>
      <c r="Q211" s="291"/>
      <c r="R211" s="262">
        <v>13.290000000000001</v>
      </c>
      <c r="S211" s="262">
        <v>238.12</v>
      </c>
      <c r="U211" s="149">
        <f t="shared" si="14"/>
        <v>48739.5</v>
      </c>
      <c r="V211" s="146">
        <f t="shared" si="15"/>
        <v>17.836111111111112</v>
      </c>
      <c r="W211" s="150">
        <f t="shared" si="16"/>
        <v>15.463888888888885</v>
      </c>
      <c r="X211" s="146">
        <f t="shared" si="18"/>
        <v>15.463888888888885</v>
      </c>
    </row>
    <row r="212" spans="1:24" ht="9.75" customHeight="1" x14ac:dyDescent="0.25">
      <c r="A212" s="288">
        <v>292</v>
      </c>
      <c r="B212" s="288"/>
      <c r="D212" s="258" t="s">
        <v>64</v>
      </c>
      <c r="E212" s="289">
        <v>36616</v>
      </c>
      <c r="F212" s="289"/>
      <c r="G212" s="289"/>
      <c r="H212" s="289"/>
      <c r="I212" s="290" t="s">
        <v>205</v>
      </c>
      <c r="J212" s="290"/>
      <c r="K212" s="290"/>
      <c r="L212" s="47">
        <v>33.299999999999997</v>
      </c>
      <c r="M212" s="262">
        <v>4876.5</v>
      </c>
      <c r="N212" s="47">
        <v>100</v>
      </c>
      <c r="O212" s="291">
        <v>2465.0700000000002</v>
      </c>
      <c r="P212" s="291"/>
      <c r="Q212" s="291"/>
      <c r="R212" s="262">
        <v>146.44</v>
      </c>
      <c r="S212" s="262">
        <v>2611.5100000000002</v>
      </c>
      <c r="U212" s="149">
        <f t="shared" si="14"/>
        <v>48770.5</v>
      </c>
      <c r="V212" s="146">
        <f t="shared" si="15"/>
        <v>17.75</v>
      </c>
      <c r="W212" s="150">
        <f t="shared" si="16"/>
        <v>15.549999999999997</v>
      </c>
      <c r="X212" s="146">
        <f t="shared" si="18"/>
        <v>15.549999999999997</v>
      </c>
    </row>
    <row r="213" spans="1:24" ht="9.75" customHeight="1" x14ac:dyDescent="0.25">
      <c r="A213" s="288">
        <v>295</v>
      </c>
      <c r="B213" s="288"/>
      <c r="D213" s="258" t="s">
        <v>64</v>
      </c>
      <c r="E213" s="289">
        <v>36646</v>
      </c>
      <c r="F213" s="289"/>
      <c r="G213" s="289"/>
      <c r="H213" s="289"/>
      <c r="I213" s="290" t="s">
        <v>205</v>
      </c>
      <c r="J213" s="290"/>
      <c r="K213" s="290"/>
      <c r="L213" s="47">
        <v>33.299999999999997</v>
      </c>
      <c r="M213" s="262">
        <v>225.08</v>
      </c>
      <c r="N213" s="47">
        <v>100</v>
      </c>
      <c r="O213" s="291">
        <v>113.23</v>
      </c>
      <c r="P213" s="291"/>
      <c r="Q213" s="291"/>
      <c r="R213" s="262">
        <v>6.76</v>
      </c>
      <c r="S213" s="262">
        <v>119.99000000000001</v>
      </c>
      <c r="U213" s="149">
        <f t="shared" si="14"/>
        <v>48800.5</v>
      </c>
      <c r="V213" s="146">
        <f t="shared" si="15"/>
        <v>17.666666666666668</v>
      </c>
      <c r="W213" s="150">
        <f t="shared" si="16"/>
        <v>15.633333333333329</v>
      </c>
      <c r="X213" s="146">
        <f t="shared" si="18"/>
        <v>15.633333333333329</v>
      </c>
    </row>
    <row r="214" spans="1:24" ht="9.75" customHeight="1" x14ac:dyDescent="0.25">
      <c r="A214" s="288">
        <v>299</v>
      </c>
      <c r="B214" s="288"/>
      <c r="D214" s="258" t="s">
        <v>64</v>
      </c>
      <c r="E214" s="289">
        <v>36677</v>
      </c>
      <c r="F214" s="289"/>
      <c r="G214" s="289"/>
      <c r="H214" s="289"/>
      <c r="I214" s="290" t="s">
        <v>205</v>
      </c>
      <c r="J214" s="290"/>
      <c r="K214" s="290"/>
      <c r="L214" s="47">
        <v>33.299999999999997</v>
      </c>
      <c r="M214" s="262">
        <v>332.5</v>
      </c>
      <c r="N214" s="47">
        <v>100</v>
      </c>
      <c r="O214" s="291">
        <v>166.44</v>
      </c>
      <c r="P214" s="291"/>
      <c r="Q214" s="291"/>
      <c r="R214" s="262">
        <v>9.99</v>
      </c>
      <c r="S214" s="262">
        <v>176.43</v>
      </c>
      <c r="U214" s="149">
        <f t="shared" si="14"/>
        <v>48831.5</v>
      </c>
      <c r="V214" s="146">
        <f t="shared" si="15"/>
        <v>17.583333333333332</v>
      </c>
      <c r="W214" s="150">
        <f t="shared" si="16"/>
        <v>15.716666666666665</v>
      </c>
      <c r="X214" s="146">
        <f t="shared" si="18"/>
        <v>15.716666666666665</v>
      </c>
    </row>
    <row r="215" spans="1:24" ht="9.75" customHeight="1" x14ac:dyDescent="0.25">
      <c r="A215" s="288">
        <v>304</v>
      </c>
      <c r="B215" s="288"/>
      <c r="D215" s="258" t="s">
        <v>64</v>
      </c>
      <c r="E215" s="289">
        <v>36707</v>
      </c>
      <c r="F215" s="289"/>
      <c r="G215" s="289"/>
      <c r="H215" s="289"/>
      <c r="I215" s="290" t="s">
        <v>205</v>
      </c>
      <c r="J215" s="290"/>
      <c r="K215" s="290"/>
      <c r="L215" s="47">
        <v>33.299999999999997</v>
      </c>
      <c r="M215" s="262">
        <v>1641.1100000000001</v>
      </c>
      <c r="N215" s="47">
        <v>100</v>
      </c>
      <c r="O215" s="291">
        <v>817.23</v>
      </c>
      <c r="P215" s="291"/>
      <c r="Q215" s="291"/>
      <c r="R215" s="262">
        <v>49.28</v>
      </c>
      <c r="S215" s="262">
        <v>866.51</v>
      </c>
      <c r="U215" s="149">
        <f t="shared" si="14"/>
        <v>48861.5</v>
      </c>
      <c r="V215" s="146">
        <f t="shared" si="15"/>
        <v>17.5</v>
      </c>
      <c r="W215" s="150">
        <f t="shared" si="16"/>
        <v>15.799999999999997</v>
      </c>
      <c r="X215" s="146">
        <f t="shared" si="18"/>
        <v>15.799999999999997</v>
      </c>
    </row>
    <row r="216" spans="1:24" ht="9.75" customHeight="1" x14ac:dyDescent="0.25">
      <c r="A216" s="288">
        <v>307</v>
      </c>
      <c r="B216" s="288"/>
      <c r="D216" s="258" t="s">
        <v>64</v>
      </c>
      <c r="E216" s="289">
        <v>36738</v>
      </c>
      <c r="F216" s="289"/>
      <c r="G216" s="289"/>
      <c r="H216" s="289"/>
      <c r="I216" s="290" t="s">
        <v>205</v>
      </c>
      <c r="J216" s="290"/>
      <c r="K216" s="290"/>
      <c r="L216" s="47">
        <v>33.299999999999997</v>
      </c>
      <c r="M216" s="262">
        <v>728.7</v>
      </c>
      <c r="N216" s="47">
        <v>100</v>
      </c>
      <c r="O216" s="291">
        <v>361.02</v>
      </c>
      <c r="P216" s="291"/>
      <c r="Q216" s="291"/>
      <c r="R216" s="262">
        <v>21.88</v>
      </c>
      <c r="S216" s="262">
        <v>382.90000000000003</v>
      </c>
      <c r="U216" s="149">
        <f t="shared" si="14"/>
        <v>48892.5</v>
      </c>
      <c r="V216" s="146">
        <f t="shared" si="15"/>
        <v>17.416666666666668</v>
      </c>
      <c r="W216" s="150">
        <f t="shared" si="16"/>
        <v>15.883333333333329</v>
      </c>
      <c r="X216" s="146">
        <f t="shared" si="18"/>
        <v>15.883333333333329</v>
      </c>
    </row>
    <row r="217" spans="1:24" ht="9.75" customHeight="1" x14ac:dyDescent="0.25">
      <c r="A217" s="288">
        <v>314</v>
      </c>
      <c r="B217" s="288"/>
      <c r="D217" s="258" t="s">
        <v>64</v>
      </c>
      <c r="E217" s="289">
        <v>36769</v>
      </c>
      <c r="F217" s="289"/>
      <c r="G217" s="289"/>
      <c r="H217" s="289"/>
      <c r="I217" s="290" t="s">
        <v>205</v>
      </c>
      <c r="J217" s="290"/>
      <c r="K217" s="290"/>
      <c r="L217" s="47">
        <v>33.299999999999997</v>
      </c>
      <c r="M217" s="262">
        <v>1492.5</v>
      </c>
      <c r="N217" s="47">
        <v>100</v>
      </c>
      <c r="O217" s="291">
        <v>735.79</v>
      </c>
      <c r="P217" s="291"/>
      <c r="Q217" s="291"/>
      <c r="R217" s="262">
        <v>44.82</v>
      </c>
      <c r="S217" s="262">
        <v>780.61</v>
      </c>
      <c r="U217" s="149">
        <f t="shared" si="14"/>
        <v>48923.5</v>
      </c>
      <c r="V217" s="146">
        <f t="shared" si="15"/>
        <v>17.333333333333332</v>
      </c>
      <c r="W217" s="150">
        <f t="shared" si="16"/>
        <v>15.966666666666665</v>
      </c>
      <c r="X217" s="146">
        <f t="shared" si="18"/>
        <v>15.966666666666665</v>
      </c>
    </row>
    <row r="218" spans="1:24" ht="9.75" customHeight="1" x14ac:dyDescent="0.25">
      <c r="A218" s="288">
        <v>318</v>
      </c>
      <c r="B218" s="288"/>
      <c r="D218" s="258" t="s">
        <v>64</v>
      </c>
      <c r="E218" s="289">
        <v>36799</v>
      </c>
      <c r="F218" s="289"/>
      <c r="G218" s="289"/>
      <c r="H218" s="289"/>
      <c r="I218" s="290" t="s">
        <v>205</v>
      </c>
      <c r="J218" s="290"/>
      <c r="K218" s="290"/>
      <c r="L218" s="47">
        <v>33.299999999999997</v>
      </c>
      <c r="M218" s="262">
        <v>37.5</v>
      </c>
      <c r="N218" s="47">
        <v>100</v>
      </c>
      <c r="O218" s="291">
        <v>18.46</v>
      </c>
      <c r="P218" s="291"/>
      <c r="Q218" s="291"/>
      <c r="R218" s="262">
        <v>1.1299999999999999</v>
      </c>
      <c r="S218" s="262">
        <v>19.59</v>
      </c>
      <c r="U218" s="149">
        <f t="shared" si="14"/>
        <v>48953.5</v>
      </c>
      <c r="V218" s="146">
        <f t="shared" si="15"/>
        <v>17.25</v>
      </c>
      <c r="W218" s="150">
        <f t="shared" si="16"/>
        <v>16.049999999999997</v>
      </c>
      <c r="X218" s="146">
        <f t="shared" si="18"/>
        <v>16.049999999999997</v>
      </c>
    </row>
    <row r="219" spans="1:24" ht="9.75" customHeight="1" x14ac:dyDescent="0.25">
      <c r="A219" s="288">
        <v>323</v>
      </c>
      <c r="B219" s="288"/>
      <c r="D219" s="258" t="s">
        <v>64</v>
      </c>
      <c r="E219" s="289">
        <v>36830</v>
      </c>
      <c r="F219" s="289"/>
      <c r="G219" s="289"/>
      <c r="H219" s="289"/>
      <c r="I219" s="290" t="s">
        <v>205</v>
      </c>
      <c r="J219" s="290"/>
      <c r="K219" s="290"/>
      <c r="L219" s="47">
        <v>33.299999999999997</v>
      </c>
      <c r="M219" s="262">
        <v>719.46</v>
      </c>
      <c r="N219" s="47">
        <v>100</v>
      </c>
      <c r="O219" s="291">
        <v>351.16</v>
      </c>
      <c r="P219" s="291"/>
      <c r="Q219" s="291"/>
      <c r="R219" s="262">
        <v>21.61</v>
      </c>
      <c r="S219" s="262">
        <v>372.77</v>
      </c>
      <c r="U219" s="149">
        <f t="shared" si="14"/>
        <v>48984.5</v>
      </c>
      <c r="V219" s="146">
        <f t="shared" si="15"/>
        <v>17.166666666666668</v>
      </c>
      <c r="W219" s="150">
        <f t="shared" si="16"/>
        <v>16.133333333333329</v>
      </c>
      <c r="X219" s="146">
        <f t="shared" si="18"/>
        <v>16.133333333333329</v>
      </c>
    </row>
    <row r="220" spans="1:24" ht="9.75" customHeight="1" x14ac:dyDescent="0.25">
      <c r="A220" s="288">
        <v>328</v>
      </c>
      <c r="B220" s="288"/>
      <c r="D220" s="258" t="s">
        <v>64</v>
      </c>
      <c r="E220" s="289">
        <v>36860</v>
      </c>
      <c r="F220" s="289"/>
      <c r="G220" s="289"/>
      <c r="H220" s="289"/>
      <c r="I220" s="290" t="s">
        <v>205</v>
      </c>
      <c r="J220" s="290"/>
      <c r="K220" s="290"/>
      <c r="L220" s="47">
        <v>33.299999999999997</v>
      </c>
      <c r="M220" s="262">
        <v>8971.25</v>
      </c>
      <c r="N220" s="47">
        <v>100</v>
      </c>
      <c r="O220" s="291">
        <v>4355.46</v>
      </c>
      <c r="P220" s="291"/>
      <c r="Q220" s="291"/>
      <c r="R220" s="262">
        <v>269.41000000000003</v>
      </c>
      <c r="S220" s="262">
        <v>4624.87</v>
      </c>
      <c r="U220" s="149">
        <f t="shared" si="14"/>
        <v>49014.5</v>
      </c>
      <c r="V220" s="146">
        <f t="shared" si="15"/>
        <v>17.083333333333332</v>
      </c>
      <c r="W220" s="150">
        <f t="shared" si="16"/>
        <v>16.216666666666665</v>
      </c>
      <c r="X220" s="146">
        <f t="shared" si="18"/>
        <v>16.216666666666665</v>
      </c>
    </row>
    <row r="221" spans="1:24" ht="9.75" customHeight="1" x14ac:dyDescent="0.25">
      <c r="A221" s="288">
        <v>339</v>
      </c>
      <c r="B221" s="288"/>
      <c r="D221" s="258" t="s">
        <v>64</v>
      </c>
      <c r="E221" s="289">
        <v>36922</v>
      </c>
      <c r="F221" s="289"/>
      <c r="G221" s="289"/>
      <c r="H221" s="289"/>
      <c r="I221" s="290" t="s">
        <v>205</v>
      </c>
      <c r="J221" s="290"/>
      <c r="K221" s="290"/>
      <c r="L221" s="47">
        <v>33</v>
      </c>
      <c r="M221" s="262">
        <v>30</v>
      </c>
      <c r="N221" s="47">
        <v>100</v>
      </c>
      <c r="O221" s="291">
        <v>14.56</v>
      </c>
      <c r="P221" s="291"/>
      <c r="Q221" s="291"/>
      <c r="R221" s="262">
        <v>0.91</v>
      </c>
      <c r="S221" s="262">
        <v>15.47</v>
      </c>
      <c r="U221" s="149">
        <f t="shared" si="14"/>
        <v>48967</v>
      </c>
      <c r="V221" s="146">
        <f t="shared" si="15"/>
        <v>16.916666666666668</v>
      </c>
      <c r="W221" s="150">
        <f t="shared" si="16"/>
        <v>16.083333333333332</v>
      </c>
      <c r="X221" s="146">
        <f t="shared" si="18"/>
        <v>16.083333333333332</v>
      </c>
    </row>
    <row r="222" spans="1:24" ht="9.75" customHeight="1" x14ac:dyDescent="0.25">
      <c r="A222" s="288">
        <v>343</v>
      </c>
      <c r="B222" s="288"/>
      <c r="D222" s="258" t="s">
        <v>64</v>
      </c>
      <c r="E222" s="289">
        <v>36950</v>
      </c>
      <c r="F222" s="289"/>
      <c r="G222" s="289"/>
      <c r="H222" s="289"/>
      <c r="I222" s="290" t="s">
        <v>205</v>
      </c>
      <c r="J222" s="290"/>
      <c r="K222" s="290"/>
      <c r="L222" s="47">
        <v>33</v>
      </c>
      <c r="M222" s="262">
        <v>341.21</v>
      </c>
      <c r="N222" s="47">
        <v>100</v>
      </c>
      <c r="O222" s="291">
        <v>164.58</v>
      </c>
      <c r="P222" s="291"/>
      <c r="Q222" s="291"/>
      <c r="R222" s="262">
        <v>10.34</v>
      </c>
      <c r="S222" s="262">
        <v>174.92000000000002</v>
      </c>
      <c r="U222" s="149">
        <f t="shared" si="14"/>
        <v>48995</v>
      </c>
      <c r="V222" s="146">
        <f t="shared" si="15"/>
        <v>16.836111111111112</v>
      </c>
      <c r="W222" s="150">
        <f t="shared" si="16"/>
        <v>16.163888888888888</v>
      </c>
      <c r="X222" s="146">
        <f t="shared" si="18"/>
        <v>16.163888888888888</v>
      </c>
    </row>
    <row r="223" spans="1:24" ht="9.75" customHeight="1" x14ac:dyDescent="0.25">
      <c r="A223" s="288">
        <v>348</v>
      </c>
      <c r="B223" s="288"/>
      <c r="D223" s="258" t="s">
        <v>64</v>
      </c>
      <c r="E223" s="289">
        <v>36981</v>
      </c>
      <c r="F223" s="289"/>
      <c r="G223" s="289"/>
      <c r="H223" s="289"/>
      <c r="I223" s="290" t="s">
        <v>205</v>
      </c>
      <c r="J223" s="290"/>
      <c r="K223" s="290"/>
      <c r="L223" s="47">
        <v>33</v>
      </c>
      <c r="M223" s="262">
        <v>97.5</v>
      </c>
      <c r="N223" s="47">
        <v>100</v>
      </c>
      <c r="O223" s="291">
        <v>46.71</v>
      </c>
      <c r="P223" s="291"/>
      <c r="Q223" s="291"/>
      <c r="R223" s="262">
        <v>2.95</v>
      </c>
      <c r="S223" s="262">
        <v>49.660000000000004</v>
      </c>
      <c r="U223" s="149">
        <f t="shared" si="14"/>
        <v>49026</v>
      </c>
      <c r="V223" s="146">
        <f t="shared" si="15"/>
        <v>16.75</v>
      </c>
      <c r="W223" s="150">
        <f t="shared" si="16"/>
        <v>16.25</v>
      </c>
      <c r="X223" s="146">
        <f t="shared" si="18"/>
        <v>16.25</v>
      </c>
    </row>
    <row r="224" spans="1:24" ht="9.75" customHeight="1" x14ac:dyDescent="0.25">
      <c r="A224" s="288">
        <v>352</v>
      </c>
      <c r="B224" s="288"/>
      <c r="D224" s="258" t="s">
        <v>64</v>
      </c>
      <c r="E224" s="289">
        <v>37011</v>
      </c>
      <c r="F224" s="289"/>
      <c r="G224" s="289"/>
      <c r="H224" s="289"/>
      <c r="I224" s="290" t="s">
        <v>205</v>
      </c>
      <c r="J224" s="290"/>
      <c r="K224" s="290"/>
      <c r="L224" s="47">
        <v>33</v>
      </c>
      <c r="M224" s="262">
        <v>127.5</v>
      </c>
      <c r="N224" s="47">
        <v>100</v>
      </c>
      <c r="O224" s="291">
        <v>60.800000000000004</v>
      </c>
      <c r="P224" s="291"/>
      <c r="Q224" s="291"/>
      <c r="R224" s="262">
        <v>3.86</v>
      </c>
      <c r="S224" s="262">
        <v>64.66</v>
      </c>
      <c r="U224" s="149">
        <f t="shared" si="14"/>
        <v>49056</v>
      </c>
      <c r="V224" s="146">
        <f t="shared" si="15"/>
        <v>16.666666666666668</v>
      </c>
      <c r="W224" s="150">
        <f t="shared" si="16"/>
        <v>16.333333333333332</v>
      </c>
      <c r="X224" s="146">
        <f t="shared" si="18"/>
        <v>16.333333333333332</v>
      </c>
    </row>
    <row r="225" spans="1:24" ht="9.75" customHeight="1" x14ac:dyDescent="0.25">
      <c r="A225" s="288">
        <v>357</v>
      </c>
      <c r="B225" s="288"/>
      <c r="D225" s="258" t="s">
        <v>64</v>
      </c>
      <c r="E225" s="289">
        <v>37042</v>
      </c>
      <c r="F225" s="289"/>
      <c r="G225" s="289"/>
      <c r="H225" s="289"/>
      <c r="I225" s="290" t="s">
        <v>205</v>
      </c>
      <c r="J225" s="290"/>
      <c r="K225" s="290"/>
      <c r="L225" s="47">
        <v>33</v>
      </c>
      <c r="M225" s="262">
        <v>120</v>
      </c>
      <c r="N225" s="47">
        <v>100</v>
      </c>
      <c r="O225" s="291">
        <v>57.02</v>
      </c>
      <c r="P225" s="291"/>
      <c r="Q225" s="291"/>
      <c r="R225" s="262">
        <v>3.64</v>
      </c>
      <c r="S225" s="262">
        <v>60.660000000000004</v>
      </c>
      <c r="U225" s="149">
        <f t="shared" si="14"/>
        <v>49087</v>
      </c>
      <c r="V225" s="146">
        <f t="shared" si="15"/>
        <v>16.583333333333332</v>
      </c>
      <c r="W225" s="150">
        <f t="shared" si="16"/>
        <v>16.416666666666668</v>
      </c>
      <c r="X225" s="146">
        <f t="shared" si="18"/>
        <v>16.416666666666668</v>
      </c>
    </row>
    <row r="226" spans="1:24" ht="9.75" customHeight="1" x14ac:dyDescent="0.25">
      <c r="A226" s="288">
        <v>360</v>
      </c>
      <c r="B226" s="288"/>
      <c r="D226" s="258" t="s">
        <v>64</v>
      </c>
      <c r="E226" s="289">
        <v>37072</v>
      </c>
      <c r="F226" s="289"/>
      <c r="G226" s="289"/>
      <c r="H226" s="289"/>
      <c r="I226" s="290" t="s">
        <v>205</v>
      </c>
      <c r="J226" s="290"/>
      <c r="K226" s="290"/>
      <c r="L226" s="47">
        <v>33</v>
      </c>
      <c r="M226" s="262">
        <v>255</v>
      </c>
      <c r="N226" s="47">
        <v>100</v>
      </c>
      <c r="O226" s="291">
        <v>120.46000000000001</v>
      </c>
      <c r="P226" s="291"/>
      <c r="Q226" s="291"/>
      <c r="R226" s="262">
        <v>7.73</v>
      </c>
      <c r="S226" s="262">
        <v>128.19</v>
      </c>
      <c r="U226" s="149">
        <f t="shared" si="14"/>
        <v>49117</v>
      </c>
      <c r="V226" s="146">
        <f t="shared" si="15"/>
        <v>16.5</v>
      </c>
      <c r="W226" s="150">
        <f t="shared" si="16"/>
        <v>16.5</v>
      </c>
      <c r="X226" s="146">
        <f t="shared" si="18"/>
        <v>16.5</v>
      </c>
    </row>
    <row r="227" spans="1:24" ht="9.75" customHeight="1" x14ac:dyDescent="0.25">
      <c r="A227" s="288">
        <v>364</v>
      </c>
      <c r="B227" s="288"/>
      <c r="D227" s="258" t="s">
        <v>64</v>
      </c>
      <c r="E227" s="289">
        <v>37103</v>
      </c>
      <c r="F227" s="289"/>
      <c r="G227" s="289"/>
      <c r="H227" s="289"/>
      <c r="I227" s="290" t="s">
        <v>205</v>
      </c>
      <c r="J227" s="290"/>
      <c r="K227" s="290"/>
      <c r="L227" s="47">
        <v>33</v>
      </c>
      <c r="M227" s="262">
        <v>528.38</v>
      </c>
      <c r="N227" s="47">
        <v>100</v>
      </c>
      <c r="O227" s="291">
        <v>248.16</v>
      </c>
      <c r="P227" s="291"/>
      <c r="Q227" s="291"/>
      <c r="R227" s="262">
        <v>16.010000000000002</v>
      </c>
      <c r="S227" s="262">
        <v>264.17</v>
      </c>
      <c r="U227" s="149">
        <f t="shared" si="14"/>
        <v>49148</v>
      </c>
      <c r="V227" s="146">
        <f t="shared" si="15"/>
        <v>16.416666666666668</v>
      </c>
      <c r="W227" s="150">
        <f t="shared" si="16"/>
        <v>16.583333333333332</v>
      </c>
      <c r="X227" s="146">
        <f t="shared" si="18"/>
        <v>16.583333333333332</v>
      </c>
    </row>
    <row r="228" spans="1:24" ht="9.75" customHeight="1" x14ac:dyDescent="0.25">
      <c r="A228" s="288">
        <v>368</v>
      </c>
      <c r="B228" s="288"/>
      <c r="D228" s="258" t="s">
        <v>64</v>
      </c>
      <c r="E228" s="289">
        <v>37134</v>
      </c>
      <c r="F228" s="289"/>
      <c r="G228" s="289"/>
      <c r="H228" s="289"/>
      <c r="I228" s="290" t="s">
        <v>205</v>
      </c>
      <c r="J228" s="290"/>
      <c r="K228" s="290"/>
      <c r="L228" s="47">
        <v>33</v>
      </c>
      <c r="M228" s="262">
        <v>334.47</v>
      </c>
      <c r="N228" s="47">
        <v>100</v>
      </c>
      <c r="O228" s="291">
        <v>156.32</v>
      </c>
      <c r="P228" s="291"/>
      <c r="Q228" s="291"/>
      <c r="R228" s="262">
        <v>10.14</v>
      </c>
      <c r="S228" s="262">
        <v>166.46</v>
      </c>
      <c r="U228" s="149">
        <f t="shared" si="14"/>
        <v>49179</v>
      </c>
      <c r="V228" s="146">
        <f t="shared" si="15"/>
        <v>16.333333333333332</v>
      </c>
      <c r="W228" s="150">
        <f t="shared" si="16"/>
        <v>16.666666666666668</v>
      </c>
      <c r="X228" s="146">
        <f t="shared" si="18"/>
        <v>16.666666666666668</v>
      </c>
    </row>
    <row r="229" spans="1:24" ht="9.75" customHeight="1" x14ac:dyDescent="0.25">
      <c r="A229" s="288">
        <v>374</v>
      </c>
      <c r="B229" s="288"/>
      <c r="D229" s="258" t="s">
        <v>64</v>
      </c>
      <c r="E229" s="289">
        <v>37195</v>
      </c>
      <c r="F229" s="289"/>
      <c r="G229" s="289"/>
      <c r="H229" s="289"/>
      <c r="I229" s="290" t="s">
        <v>205</v>
      </c>
      <c r="J229" s="290"/>
      <c r="K229" s="290"/>
      <c r="L229" s="47">
        <v>33</v>
      </c>
      <c r="M229" s="262">
        <v>7390.63</v>
      </c>
      <c r="N229" s="47">
        <v>100</v>
      </c>
      <c r="O229" s="291">
        <v>3415.39</v>
      </c>
      <c r="P229" s="291"/>
      <c r="Q229" s="291"/>
      <c r="R229" s="262">
        <v>223.96</v>
      </c>
      <c r="S229" s="262">
        <v>3639.35</v>
      </c>
      <c r="U229" s="149">
        <f t="shared" si="14"/>
        <v>49240</v>
      </c>
      <c r="V229" s="146">
        <f t="shared" si="15"/>
        <v>16.166666666666668</v>
      </c>
      <c r="W229" s="150">
        <f t="shared" si="16"/>
        <v>16.833333333333332</v>
      </c>
      <c r="X229" s="146">
        <f t="shared" si="18"/>
        <v>16.833333333333332</v>
      </c>
    </row>
    <row r="230" spans="1:24" ht="9.75" customHeight="1" x14ac:dyDescent="0.25">
      <c r="A230" s="288">
        <v>379</v>
      </c>
      <c r="B230" s="288"/>
      <c r="D230" s="258" t="s">
        <v>64</v>
      </c>
      <c r="E230" s="289">
        <v>37225</v>
      </c>
      <c r="F230" s="289"/>
      <c r="G230" s="289"/>
      <c r="H230" s="289"/>
      <c r="I230" s="290" t="s">
        <v>205</v>
      </c>
      <c r="J230" s="290"/>
      <c r="K230" s="290"/>
      <c r="L230" s="47">
        <v>33</v>
      </c>
      <c r="M230" s="262">
        <v>360</v>
      </c>
      <c r="N230" s="47">
        <v>100</v>
      </c>
      <c r="O230" s="291">
        <v>165.47</v>
      </c>
      <c r="P230" s="291"/>
      <c r="Q230" s="291"/>
      <c r="R230" s="262">
        <v>10.91</v>
      </c>
      <c r="S230" s="262">
        <v>176.38</v>
      </c>
      <c r="U230" s="149">
        <f t="shared" ref="U230:U293" si="19">E230+(L230*365)</f>
        <v>49270</v>
      </c>
      <c r="V230" s="146">
        <f t="shared" ref="V230:V293" si="20">YEARFRAC(E230,$V$14)</f>
        <v>16.083333333333332</v>
      </c>
      <c r="W230" s="150">
        <f t="shared" ref="W230:W293" si="21">IF(V230&gt;L230,0,L230-V230)</f>
        <v>16.916666666666668</v>
      </c>
      <c r="X230" s="146">
        <f t="shared" si="18"/>
        <v>16.916666666666668</v>
      </c>
    </row>
    <row r="231" spans="1:24" ht="9.75" customHeight="1" x14ac:dyDescent="0.25">
      <c r="A231" s="288">
        <v>386</v>
      </c>
      <c r="B231" s="288"/>
      <c r="D231" s="258" t="s">
        <v>64</v>
      </c>
      <c r="E231" s="289">
        <v>37144</v>
      </c>
      <c r="F231" s="289"/>
      <c r="G231" s="289"/>
      <c r="H231" s="289"/>
      <c r="I231" s="290" t="s">
        <v>205</v>
      </c>
      <c r="J231" s="290"/>
      <c r="K231" s="290"/>
      <c r="L231" s="47">
        <v>33</v>
      </c>
      <c r="M231" s="262">
        <v>15</v>
      </c>
      <c r="N231" s="47">
        <v>100</v>
      </c>
      <c r="O231" s="291">
        <v>6.9</v>
      </c>
      <c r="P231" s="291"/>
      <c r="Q231" s="291"/>
      <c r="R231" s="262">
        <v>0.45</v>
      </c>
      <c r="S231" s="262">
        <v>7.3500000000000005</v>
      </c>
      <c r="U231" s="149">
        <f t="shared" si="19"/>
        <v>49189</v>
      </c>
      <c r="V231" s="146">
        <f t="shared" si="20"/>
        <v>16.308333333333334</v>
      </c>
      <c r="W231" s="150">
        <f t="shared" si="21"/>
        <v>16.691666666666666</v>
      </c>
      <c r="X231" s="146">
        <f t="shared" si="18"/>
        <v>16.691666666666666</v>
      </c>
    </row>
    <row r="232" spans="1:24" ht="9.75" customHeight="1" x14ac:dyDescent="0.25">
      <c r="A232" s="288">
        <v>387</v>
      </c>
      <c r="B232" s="288"/>
      <c r="D232" s="258" t="s">
        <v>64</v>
      </c>
      <c r="E232" s="289">
        <v>37145</v>
      </c>
      <c r="F232" s="289"/>
      <c r="G232" s="289"/>
      <c r="H232" s="289"/>
      <c r="I232" s="290" t="s">
        <v>205</v>
      </c>
      <c r="J232" s="290"/>
      <c r="K232" s="290"/>
      <c r="L232" s="47">
        <v>33</v>
      </c>
      <c r="M232" s="262">
        <v>30</v>
      </c>
      <c r="N232" s="47">
        <v>100</v>
      </c>
      <c r="O232" s="291">
        <v>13.950000000000001</v>
      </c>
      <c r="P232" s="291"/>
      <c r="Q232" s="291"/>
      <c r="R232" s="262">
        <v>0.91</v>
      </c>
      <c r="S232" s="262">
        <v>14.86</v>
      </c>
      <c r="U232" s="149">
        <f t="shared" si="19"/>
        <v>49190</v>
      </c>
      <c r="V232" s="146">
        <f t="shared" si="20"/>
        <v>16.305555555555557</v>
      </c>
      <c r="W232" s="150">
        <f t="shared" si="21"/>
        <v>16.694444444444443</v>
      </c>
      <c r="X232" s="146">
        <f t="shared" si="18"/>
        <v>16.694444444444443</v>
      </c>
    </row>
    <row r="233" spans="1:24" ht="9.75" customHeight="1" x14ac:dyDescent="0.25">
      <c r="A233" s="288">
        <v>392</v>
      </c>
      <c r="B233" s="288"/>
      <c r="D233" s="258" t="s">
        <v>64</v>
      </c>
      <c r="E233" s="289">
        <v>37287</v>
      </c>
      <c r="F233" s="289"/>
      <c r="G233" s="289"/>
      <c r="H233" s="289"/>
      <c r="I233" s="290" t="s">
        <v>205</v>
      </c>
      <c r="J233" s="290"/>
      <c r="K233" s="290"/>
      <c r="L233" s="47">
        <v>33</v>
      </c>
      <c r="M233" s="262">
        <v>7.5</v>
      </c>
      <c r="N233" s="47">
        <v>100</v>
      </c>
      <c r="O233" s="291">
        <v>3.45</v>
      </c>
      <c r="P233" s="291"/>
      <c r="Q233" s="291"/>
      <c r="R233" s="262">
        <v>0.23</v>
      </c>
      <c r="S233" s="262">
        <v>3.68</v>
      </c>
      <c r="U233" s="149">
        <f t="shared" si="19"/>
        <v>49332</v>
      </c>
      <c r="V233" s="146">
        <f t="shared" si="20"/>
        <v>15.916666666666666</v>
      </c>
      <c r="W233" s="150">
        <f t="shared" si="21"/>
        <v>17.083333333333336</v>
      </c>
      <c r="X233" s="146">
        <f t="shared" si="18"/>
        <v>17.083333333333336</v>
      </c>
    </row>
    <row r="234" spans="1:24" ht="9.75" customHeight="1" x14ac:dyDescent="0.25">
      <c r="A234" s="288">
        <v>396</v>
      </c>
      <c r="B234" s="288"/>
      <c r="D234" s="258" t="s">
        <v>64</v>
      </c>
      <c r="E234" s="289">
        <v>37315</v>
      </c>
      <c r="F234" s="289"/>
      <c r="G234" s="289"/>
      <c r="H234" s="289"/>
      <c r="I234" s="290" t="s">
        <v>205</v>
      </c>
      <c r="J234" s="290"/>
      <c r="K234" s="290"/>
      <c r="L234" s="47">
        <v>33</v>
      </c>
      <c r="M234" s="262">
        <v>22.5</v>
      </c>
      <c r="N234" s="47">
        <v>100</v>
      </c>
      <c r="O234" s="291">
        <v>10.15</v>
      </c>
      <c r="P234" s="291"/>
      <c r="Q234" s="291"/>
      <c r="R234" s="262">
        <v>0.68</v>
      </c>
      <c r="S234" s="262">
        <v>10.83</v>
      </c>
      <c r="U234" s="149">
        <f t="shared" si="19"/>
        <v>49360</v>
      </c>
      <c r="V234" s="146">
        <f t="shared" si="20"/>
        <v>15.83611111111111</v>
      </c>
      <c r="W234" s="150">
        <f t="shared" si="21"/>
        <v>17.163888888888891</v>
      </c>
      <c r="X234" s="146">
        <f t="shared" si="18"/>
        <v>17.163888888888891</v>
      </c>
    </row>
    <row r="235" spans="1:24" ht="9.75" customHeight="1" x14ac:dyDescent="0.25">
      <c r="A235" s="288">
        <v>403</v>
      </c>
      <c r="B235" s="288"/>
      <c r="D235" s="258" t="s">
        <v>64</v>
      </c>
      <c r="E235" s="289">
        <v>37376</v>
      </c>
      <c r="F235" s="289"/>
      <c r="G235" s="289"/>
      <c r="H235" s="289"/>
      <c r="I235" s="290" t="s">
        <v>205</v>
      </c>
      <c r="J235" s="290"/>
      <c r="K235" s="290"/>
      <c r="L235" s="47">
        <v>33</v>
      </c>
      <c r="M235" s="262">
        <v>247.5</v>
      </c>
      <c r="N235" s="47">
        <v>100</v>
      </c>
      <c r="O235" s="291">
        <v>110.63</v>
      </c>
      <c r="P235" s="291"/>
      <c r="Q235" s="291"/>
      <c r="R235" s="262">
        <v>7.5</v>
      </c>
      <c r="S235" s="262">
        <v>118.13</v>
      </c>
      <c r="U235" s="149">
        <f t="shared" si="19"/>
        <v>49421</v>
      </c>
      <c r="V235" s="146">
        <f t="shared" si="20"/>
        <v>15.666666666666666</v>
      </c>
      <c r="W235" s="150">
        <f t="shared" si="21"/>
        <v>17.333333333333336</v>
      </c>
      <c r="X235" s="146">
        <f t="shared" si="18"/>
        <v>17.333333333333336</v>
      </c>
    </row>
    <row r="236" spans="1:24" ht="9.75" customHeight="1" x14ac:dyDescent="0.25">
      <c r="A236" s="288">
        <v>408</v>
      </c>
      <c r="B236" s="288"/>
      <c r="D236" s="258" t="s">
        <v>64</v>
      </c>
      <c r="E236" s="289">
        <v>37407</v>
      </c>
      <c r="F236" s="289"/>
      <c r="G236" s="289"/>
      <c r="H236" s="289"/>
      <c r="I236" s="290" t="s">
        <v>205</v>
      </c>
      <c r="J236" s="290"/>
      <c r="K236" s="290"/>
      <c r="L236" s="47">
        <v>33</v>
      </c>
      <c r="M236" s="262">
        <v>1620</v>
      </c>
      <c r="N236" s="47">
        <v>100</v>
      </c>
      <c r="O236" s="291">
        <v>719.99</v>
      </c>
      <c r="P236" s="291"/>
      <c r="Q236" s="291"/>
      <c r="R236" s="262">
        <v>49.09</v>
      </c>
      <c r="S236" s="262">
        <v>769.08</v>
      </c>
      <c r="U236" s="149">
        <f t="shared" si="19"/>
        <v>49452</v>
      </c>
      <c r="V236" s="146">
        <f t="shared" si="20"/>
        <v>15.583333333333334</v>
      </c>
      <c r="W236" s="150">
        <f t="shared" si="21"/>
        <v>17.416666666666664</v>
      </c>
      <c r="X236" s="146">
        <f t="shared" si="18"/>
        <v>17.416666666666664</v>
      </c>
    </row>
    <row r="237" spans="1:24" ht="9.75" customHeight="1" x14ac:dyDescent="0.25">
      <c r="A237" s="288">
        <v>411</v>
      </c>
      <c r="B237" s="288"/>
      <c r="D237" s="258" t="s">
        <v>64</v>
      </c>
      <c r="E237" s="289">
        <v>37437</v>
      </c>
      <c r="F237" s="289"/>
      <c r="G237" s="289"/>
      <c r="H237" s="289"/>
      <c r="I237" s="290" t="s">
        <v>205</v>
      </c>
      <c r="J237" s="290"/>
      <c r="K237" s="290"/>
      <c r="L237" s="47">
        <v>33</v>
      </c>
      <c r="M237" s="262">
        <v>1007.71</v>
      </c>
      <c r="N237" s="47">
        <v>100</v>
      </c>
      <c r="O237" s="291">
        <v>445.37</v>
      </c>
      <c r="P237" s="291"/>
      <c r="Q237" s="291"/>
      <c r="R237" s="262">
        <v>30.54</v>
      </c>
      <c r="S237" s="262">
        <v>475.91</v>
      </c>
      <c r="U237" s="149">
        <f t="shared" si="19"/>
        <v>49482</v>
      </c>
      <c r="V237" s="146">
        <f t="shared" si="20"/>
        <v>15.5</v>
      </c>
      <c r="W237" s="150">
        <f t="shared" si="21"/>
        <v>17.5</v>
      </c>
      <c r="X237" s="146">
        <f t="shared" si="18"/>
        <v>17.5</v>
      </c>
    </row>
    <row r="238" spans="1:24" ht="9.75" customHeight="1" x14ac:dyDescent="0.25">
      <c r="A238" s="288">
        <v>414</v>
      </c>
      <c r="B238" s="288"/>
      <c r="D238" s="258" t="s">
        <v>64</v>
      </c>
      <c r="E238" s="289">
        <v>37468</v>
      </c>
      <c r="F238" s="289"/>
      <c r="G238" s="289"/>
      <c r="H238" s="289"/>
      <c r="I238" s="290" t="s">
        <v>205</v>
      </c>
      <c r="J238" s="290"/>
      <c r="K238" s="290"/>
      <c r="L238" s="47">
        <v>33</v>
      </c>
      <c r="M238" s="262">
        <v>6200.56</v>
      </c>
      <c r="N238" s="47">
        <v>100</v>
      </c>
      <c r="O238" s="291">
        <v>2724.55</v>
      </c>
      <c r="P238" s="291"/>
      <c r="Q238" s="291"/>
      <c r="R238" s="262">
        <v>187.9</v>
      </c>
      <c r="S238" s="262">
        <v>2912.4500000000003</v>
      </c>
      <c r="U238" s="149">
        <f t="shared" si="19"/>
        <v>49513</v>
      </c>
      <c r="V238" s="146">
        <f t="shared" si="20"/>
        <v>15.416666666666666</v>
      </c>
      <c r="W238" s="150">
        <f t="shared" si="21"/>
        <v>17.583333333333336</v>
      </c>
      <c r="X238" s="146">
        <f t="shared" si="18"/>
        <v>17.583333333333336</v>
      </c>
    </row>
    <row r="239" spans="1:24" ht="9.75" customHeight="1" x14ac:dyDescent="0.25">
      <c r="A239" s="288">
        <v>419</v>
      </c>
      <c r="B239" s="288"/>
      <c r="D239" s="258" t="s">
        <v>64</v>
      </c>
      <c r="E239" s="289">
        <v>37499</v>
      </c>
      <c r="F239" s="289"/>
      <c r="G239" s="289"/>
      <c r="H239" s="289"/>
      <c r="I239" s="290" t="s">
        <v>205</v>
      </c>
      <c r="J239" s="290"/>
      <c r="K239" s="290"/>
      <c r="L239" s="47">
        <v>33</v>
      </c>
      <c r="M239" s="262">
        <v>1768.1200000000001</v>
      </c>
      <c r="N239" s="47">
        <v>100</v>
      </c>
      <c r="O239" s="291">
        <v>772.44</v>
      </c>
      <c r="P239" s="291"/>
      <c r="Q239" s="291"/>
      <c r="R239" s="262">
        <v>53.58</v>
      </c>
      <c r="S239" s="262">
        <v>826.02</v>
      </c>
      <c r="U239" s="149">
        <f t="shared" si="19"/>
        <v>49544</v>
      </c>
      <c r="V239" s="146">
        <f t="shared" si="20"/>
        <v>15.333333333333334</v>
      </c>
      <c r="W239" s="150">
        <f t="shared" si="21"/>
        <v>17.666666666666664</v>
      </c>
      <c r="X239" s="146">
        <f t="shared" si="18"/>
        <v>17.666666666666664</v>
      </c>
    </row>
    <row r="240" spans="1:24" ht="9.75" customHeight="1" x14ac:dyDescent="0.25">
      <c r="A240" s="288">
        <v>423</v>
      </c>
      <c r="B240" s="288"/>
      <c r="D240" s="258" t="s">
        <v>64</v>
      </c>
      <c r="E240" s="289">
        <v>37529</v>
      </c>
      <c r="F240" s="289"/>
      <c r="G240" s="289"/>
      <c r="H240" s="289"/>
      <c r="I240" s="290" t="s">
        <v>205</v>
      </c>
      <c r="J240" s="290"/>
      <c r="K240" s="290"/>
      <c r="L240" s="47">
        <v>33</v>
      </c>
      <c r="M240" s="262">
        <v>2274.6799999999998</v>
      </c>
      <c r="N240" s="47">
        <v>100</v>
      </c>
      <c r="O240" s="291">
        <v>988</v>
      </c>
      <c r="P240" s="291"/>
      <c r="Q240" s="291"/>
      <c r="R240" s="262">
        <v>68.930000000000007</v>
      </c>
      <c r="S240" s="262">
        <v>1056.93</v>
      </c>
      <c r="U240" s="149">
        <f t="shared" si="19"/>
        <v>49574</v>
      </c>
      <c r="V240" s="146">
        <f t="shared" si="20"/>
        <v>15.25</v>
      </c>
      <c r="W240" s="150">
        <f t="shared" si="21"/>
        <v>17.75</v>
      </c>
      <c r="X240" s="146">
        <f t="shared" si="18"/>
        <v>17.75</v>
      </c>
    </row>
    <row r="241" spans="1:24" ht="9.75" customHeight="1" x14ac:dyDescent="0.25">
      <c r="A241" s="288">
        <v>429</v>
      </c>
      <c r="B241" s="288"/>
      <c r="D241" s="258" t="s">
        <v>64</v>
      </c>
      <c r="E241" s="289">
        <v>37560</v>
      </c>
      <c r="F241" s="289"/>
      <c r="G241" s="289"/>
      <c r="H241" s="289"/>
      <c r="I241" s="290" t="s">
        <v>205</v>
      </c>
      <c r="J241" s="290"/>
      <c r="K241" s="290"/>
      <c r="L241" s="47">
        <v>33</v>
      </c>
      <c r="M241" s="262">
        <v>982.68000000000006</v>
      </c>
      <c r="N241" s="47">
        <v>100</v>
      </c>
      <c r="O241" s="291">
        <v>424.36</v>
      </c>
      <c r="P241" s="291"/>
      <c r="Q241" s="291"/>
      <c r="R241" s="262">
        <v>29.78</v>
      </c>
      <c r="S241" s="262">
        <v>454.14</v>
      </c>
      <c r="U241" s="149">
        <f t="shared" si="19"/>
        <v>49605</v>
      </c>
      <c r="V241" s="146">
        <f t="shared" si="20"/>
        <v>15.166666666666666</v>
      </c>
      <c r="W241" s="150">
        <f t="shared" si="21"/>
        <v>17.833333333333336</v>
      </c>
      <c r="X241" s="146">
        <f t="shared" si="18"/>
        <v>17.833333333333336</v>
      </c>
    </row>
    <row r="242" spans="1:24" ht="9.75" customHeight="1" x14ac:dyDescent="0.25">
      <c r="A242" s="288">
        <v>433</v>
      </c>
      <c r="B242" s="288"/>
      <c r="D242" s="258" t="s">
        <v>64</v>
      </c>
      <c r="E242" s="289">
        <v>39640</v>
      </c>
      <c r="F242" s="289"/>
      <c r="G242" s="289"/>
      <c r="H242" s="289"/>
      <c r="I242" s="290" t="s">
        <v>205</v>
      </c>
      <c r="J242" s="290"/>
      <c r="K242" s="290"/>
      <c r="L242" s="47">
        <v>33</v>
      </c>
      <c r="M242" s="262">
        <v>161.83000000000001</v>
      </c>
      <c r="N242" s="47">
        <v>100</v>
      </c>
      <c r="O242" s="291">
        <v>41.65</v>
      </c>
      <c r="P242" s="291"/>
      <c r="Q242" s="291"/>
      <c r="R242" s="262">
        <v>4.9000000000000004</v>
      </c>
      <c r="S242" s="262">
        <v>46.550000000000004</v>
      </c>
      <c r="U242" s="149">
        <f t="shared" si="19"/>
        <v>51685</v>
      </c>
      <c r="V242" s="146">
        <f t="shared" si="20"/>
        <v>9.4722222222222214</v>
      </c>
      <c r="W242" s="150">
        <f t="shared" si="21"/>
        <v>23.527777777777779</v>
      </c>
      <c r="X242" s="146">
        <f t="shared" ref="X242:X273" si="22">IF(W242=0,0,W242)</f>
        <v>23.527777777777779</v>
      </c>
    </row>
    <row r="243" spans="1:24" ht="9.75" customHeight="1" x14ac:dyDescent="0.25">
      <c r="A243" s="288">
        <v>434</v>
      </c>
      <c r="B243" s="288"/>
      <c r="D243" s="258" t="s">
        <v>64</v>
      </c>
      <c r="E243" s="289">
        <v>37590</v>
      </c>
      <c r="F243" s="289"/>
      <c r="G243" s="289"/>
      <c r="H243" s="289"/>
      <c r="I243" s="290" t="s">
        <v>205</v>
      </c>
      <c r="J243" s="290"/>
      <c r="K243" s="290"/>
      <c r="L243" s="47">
        <v>33</v>
      </c>
      <c r="M243" s="262">
        <v>6712.39</v>
      </c>
      <c r="N243" s="47">
        <v>100</v>
      </c>
      <c r="O243" s="291">
        <v>2881.64</v>
      </c>
      <c r="P243" s="291"/>
      <c r="Q243" s="291"/>
      <c r="R243" s="262">
        <v>203.41</v>
      </c>
      <c r="S243" s="262">
        <v>3085.05</v>
      </c>
      <c r="U243" s="149">
        <f t="shared" si="19"/>
        <v>49635</v>
      </c>
      <c r="V243" s="146">
        <f t="shared" si="20"/>
        <v>15.083333333333334</v>
      </c>
      <c r="W243" s="150">
        <f t="shared" si="21"/>
        <v>17.916666666666664</v>
      </c>
      <c r="X243" s="146">
        <f t="shared" si="22"/>
        <v>17.916666666666664</v>
      </c>
    </row>
    <row r="244" spans="1:24" ht="9.75" customHeight="1" x14ac:dyDescent="0.25">
      <c r="A244" s="288">
        <v>435</v>
      </c>
      <c r="B244" s="288"/>
      <c r="D244" s="258" t="s">
        <v>64</v>
      </c>
      <c r="E244" s="289">
        <v>37621</v>
      </c>
      <c r="F244" s="289"/>
      <c r="G244" s="289"/>
      <c r="H244" s="289"/>
      <c r="I244" s="290" t="s">
        <v>205</v>
      </c>
      <c r="J244" s="290"/>
      <c r="K244" s="290"/>
      <c r="L244" s="47">
        <v>33</v>
      </c>
      <c r="M244" s="262">
        <v>677.95</v>
      </c>
      <c r="N244" s="47">
        <v>100</v>
      </c>
      <c r="O244" s="291">
        <v>289.27</v>
      </c>
      <c r="P244" s="291"/>
      <c r="Q244" s="291"/>
      <c r="R244" s="262">
        <v>20.54</v>
      </c>
      <c r="S244" s="262">
        <v>309.81</v>
      </c>
      <c r="U244" s="149">
        <f t="shared" si="19"/>
        <v>49666</v>
      </c>
      <c r="V244" s="146">
        <f t="shared" si="20"/>
        <v>15</v>
      </c>
      <c r="W244" s="150">
        <f t="shared" si="21"/>
        <v>18</v>
      </c>
      <c r="X244" s="146">
        <f t="shared" si="22"/>
        <v>18</v>
      </c>
    </row>
    <row r="245" spans="1:24" ht="9.75" customHeight="1" x14ac:dyDescent="0.25">
      <c r="A245" s="288">
        <v>443</v>
      </c>
      <c r="B245" s="288"/>
      <c r="D245" s="258" t="s">
        <v>64</v>
      </c>
      <c r="E245" s="289">
        <v>37652</v>
      </c>
      <c r="F245" s="289"/>
      <c r="G245" s="289"/>
      <c r="H245" s="289"/>
      <c r="I245" s="290" t="s">
        <v>205</v>
      </c>
      <c r="J245" s="290"/>
      <c r="K245" s="290"/>
      <c r="L245" s="47">
        <v>33</v>
      </c>
      <c r="M245" s="262">
        <v>112.5</v>
      </c>
      <c r="N245" s="47">
        <v>100</v>
      </c>
      <c r="O245" s="291">
        <v>47.74</v>
      </c>
      <c r="P245" s="291"/>
      <c r="Q245" s="291"/>
      <c r="R245" s="262">
        <v>3.41</v>
      </c>
      <c r="S245" s="262">
        <v>51.15</v>
      </c>
      <c r="U245" s="149">
        <f t="shared" si="19"/>
        <v>49697</v>
      </c>
      <c r="V245" s="146">
        <f t="shared" si="20"/>
        <v>14.916666666666666</v>
      </c>
      <c r="W245" s="150">
        <f t="shared" si="21"/>
        <v>18.083333333333336</v>
      </c>
      <c r="X245" s="146">
        <f t="shared" si="22"/>
        <v>18.083333333333336</v>
      </c>
    </row>
    <row r="246" spans="1:24" ht="9.75" customHeight="1" x14ac:dyDescent="0.25">
      <c r="A246" s="288">
        <v>447</v>
      </c>
      <c r="B246" s="288"/>
      <c r="D246" s="258" t="s">
        <v>64</v>
      </c>
      <c r="E246" s="289">
        <v>37656</v>
      </c>
      <c r="F246" s="289"/>
      <c r="G246" s="289"/>
      <c r="H246" s="289"/>
      <c r="I246" s="290" t="s">
        <v>205</v>
      </c>
      <c r="J246" s="290"/>
      <c r="K246" s="290"/>
      <c r="L246" s="47">
        <v>33</v>
      </c>
      <c r="M246" s="262">
        <v>40</v>
      </c>
      <c r="N246" s="47">
        <v>100</v>
      </c>
      <c r="O246" s="291">
        <v>16.84</v>
      </c>
      <c r="P246" s="291"/>
      <c r="Q246" s="291"/>
      <c r="R246" s="262">
        <v>1.21</v>
      </c>
      <c r="S246" s="262">
        <v>18.05</v>
      </c>
      <c r="U246" s="149">
        <f t="shared" si="19"/>
        <v>49701</v>
      </c>
      <c r="V246" s="146">
        <f t="shared" si="20"/>
        <v>14.908333333333333</v>
      </c>
      <c r="W246" s="150">
        <f t="shared" si="21"/>
        <v>18.091666666666669</v>
      </c>
      <c r="X246" s="146">
        <f t="shared" si="22"/>
        <v>18.091666666666669</v>
      </c>
    </row>
    <row r="247" spans="1:24" ht="9.75" customHeight="1" x14ac:dyDescent="0.25">
      <c r="A247" s="288">
        <v>448</v>
      </c>
      <c r="B247" s="288"/>
      <c r="D247" s="258" t="s">
        <v>64</v>
      </c>
      <c r="E247" s="289">
        <v>37669</v>
      </c>
      <c r="F247" s="289"/>
      <c r="G247" s="289"/>
      <c r="H247" s="289"/>
      <c r="I247" s="290" t="s">
        <v>205</v>
      </c>
      <c r="J247" s="290"/>
      <c r="K247" s="290"/>
      <c r="L247" s="47">
        <v>33</v>
      </c>
      <c r="M247" s="262">
        <v>15</v>
      </c>
      <c r="N247" s="47">
        <v>100</v>
      </c>
      <c r="O247" s="291">
        <v>6.2700000000000005</v>
      </c>
      <c r="P247" s="291"/>
      <c r="Q247" s="291"/>
      <c r="R247" s="262">
        <v>0.45</v>
      </c>
      <c r="S247" s="262">
        <v>6.72</v>
      </c>
      <c r="U247" s="149">
        <f t="shared" si="19"/>
        <v>49714</v>
      </c>
      <c r="V247" s="146">
        <f t="shared" si="20"/>
        <v>14.872222222222222</v>
      </c>
      <c r="W247" s="150">
        <f t="shared" si="21"/>
        <v>18.12777777777778</v>
      </c>
      <c r="X247" s="146">
        <f t="shared" si="22"/>
        <v>18.12777777777778</v>
      </c>
    </row>
    <row r="248" spans="1:24" ht="9.75" customHeight="1" x14ac:dyDescent="0.25">
      <c r="A248" s="288">
        <v>449</v>
      </c>
      <c r="B248" s="288"/>
      <c r="D248" s="258" t="s">
        <v>64</v>
      </c>
      <c r="E248" s="289">
        <v>37680</v>
      </c>
      <c r="F248" s="289"/>
      <c r="G248" s="289"/>
      <c r="H248" s="289"/>
      <c r="I248" s="290" t="s">
        <v>205</v>
      </c>
      <c r="J248" s="290"/>
      <c r="K248" s="290"/>
      <c r="L248" s="47">
        <v>33</v>
      </c>
      <c r="M248" s="262">
        <v>210</v>
      </c>
      <c r="N248" s="47">
        <v>100</v>
      </c>
      <c r="O248" s="291">
        <v>88.51</v>
      </c>
      <c r="P248" s="291"/>
      <c r="Q248" s="291"/>
      <c r="R248" s="262">
        <v>6.36</v>
      </c>
      <c r="S248" s="262">
        <v>94.87</v>
      </c>
      <c r="U248" s="149">
        <f t="shared" si="19"/>
        <v>49725</v>
      </c>
      <c r="V248" s="146">
        <f t="shared" si="20"/>
        <v>14.83611111111111</v>
      </c>
      <c r="W248" s="150">
        <f t="shared" si="21"/>
        <v>18.163888888888891</v>
      </c>
      <c r="X248" s="146">
        <f t="shared" si="22"/>
        <v>18.163888888888891</v>
      </c>
    </row>
    <row r="249" spans="1:24" ht="9.75" customHeight="1" x14ac:dyDescent="0.25">
      <c r="A249" s="288">
        <v>458</v>
      </c>
      <c r="B249" s="288"/>
      <c r="D249" s="258" t="s">
        <v>64</v>
      </c>
      <c r="E249" s="289">
        <v>37711</v>
      </c>
      <c r="F249" s="289"/>
      <c r="G249" s="289"/>
      <c r="H249" s="289"/>
      <c r="I249" s="290" t="s">
        <v>205</v>
      </c>
      <c r="J249" s="290"/>
      <c r="K249" s="290"/>
      <c r="L249" s="47">
        <v>33</v>
      </c>
      <c r="M249" s="262">
        <v>67.5</v>
      </c>
      <c r="N249" s="47">
        <v>100</v>
      </c>
      <c r="O249" s="291">
        <v>28.35</v>
      </c>
      <c r="P249" s="291"/>
      <c r="Q249" s="291"/>
      <c r="R249" s="262">
        <v>2.0499999999999998</v>
      </c>
      <c r="S249" s="262">
        <v>30.400000000000002</v>
      </c>
      <c r="U249" s="149">
        <f t="shared" si="19"/>
        <v>49756</v>
      </c>
      <c r="V249" s="146">
        <f t="shared" si="20"/>
        <v>14.75</v>
      </c>
      <c r="W249" s="150">
        <f t="shared" si="21"/>
        <v>18.25</v>
      </c>
      <c r="X249" s="146">
        <f t="shared" si="22"/>
        <v>18.25</v>
      </c>
    </row>
    <row r="250" spans="1:24" ht="9.75" customHeight="1" x14ac:dyDescent="0.25">
      <c r="A250" s="288">
        <v>467</v>
      </c>
      <c r="B250" s="288"/>
      <c r="D250" s="258" t="s">
        <v>64</v>
      </c>
      <c r="E250" s="289">
        <v>37741</v>
      </c>
      <c r="F250" s="289"/>
      <c r="G250" s="289"/>
      <c r="H250" s="289"/>
      <c r="I250" s="290" t="s">
        <v>205</v>
      </c>
      <c r="J250" s="290"/>
      <c r="K250" s="290"/>
      <c r="L250" s="47">
        <v>33</v>
      </c>
      <c r="M250" s="262">
        <v>817.5</v>
      </c>
      <c r="N250" s="47">
        <v>100</v>
      </c>
      <c r="O250" s="291">
        <v>340.59000000000003</v>
      </c>
      <c r="P250" s="291"/>
      <c r="Q250" s="291"/>
      <c r="R250" s="262">
        <v>24.77</v>
      </c>
      <c r="S250" s="262">
        <v>365.36</v>
      </c>
      <c r="U250" s="149">
        <f t="shared" si="19"/>
        <v>49786</v>
      </c>
      <c r="V250" s="146">
        <f t="shared" si="20"/>
        <v>14.666666666666666</v>
      </c>
      <c r="W250" s="150">
        <f t="shared" si="21"/>
        <v>18.333333333333336</v>
      </c>
      <c r="X250" s="146">
        <f t="shared" si="22"/>
        <v>18.333333333333336</v>
      </c>
    </row>
    <row r="251" spans="1:24" ht="9.75" customHeight="1" x14ac:dyDescent="0.25">
      <c r="A251" s="288">
        <v>473</v>
      </c>
      <c r="B251" s="288"/>
      <c r="D251" s="258" t="s">
        <v>64</v>
      </c>
      <c r="E251" s="289">
        <v>37772</v>
      </c>
      <c r="F251" s="289"/>
      <c r="G251" s="289"/>
      <c r="H251" s="289"/>
      <c r="I251" s="290" t="s">
        <v>205</v>
      </c>
      <c r="J251" s="290"/>
      <c r="K251" s="290"/>
      <c r="L251" s="47">
        <v>33</v>
      </c>
      <c r="M251" s="262">
        <v>2090.4499999999998</v>
      </c>
      <c r="N251" s="47">
        <v>100</v>
      </c>
      <c r="O251" s="291">
        <v>865.78</v>
      </c>
      <c r="P251" s="291"/>
      <c r="Q251" s="291"/>
      <c r="R251" s="262">
        <v>63.35</v>
      </c>
      <c r="S251" s="262">
        <v>929.13</v>
      </c>
      <c r="U251" s="149">
        <f t="shared" si="19"/>
        <v>49817</v>
      </c>
      <c r="V251" s="146">
        <f t="shared" si="20"/>
        <v>14.583333333333334</v>
      </c>
      <c r="W251" s="150">
        <f t="shared" si="21"/>
        <v>18.416666666666664</v>
      </c>
      <c r="X251" s="146">
        <f t="shared" si="22"/>
        <v>18.416666666666664</v>
      </c>
    </row>
    <row r="252" spans="1:24" ht="9.75" customHeight="1" x14ac:dyDescent="0.25">
      <c r="A252" s="288">
        <v>474</v>
      </c>
      <c r="B252" s="288"/>
      <c r="D252" s="258" t="s">
        <v>64</v>
      </c>
      <c r="E252" s="289">
        <v>37772</v>
      </c>
      <c r="F252" s="289"/>
      <c r="G252" s="289"/>
      <c r="H252" s="289"/>
      <c r="I252" s="290" t="s">
        <v>205</v>
      </c>
      <c r="J252" s="290"/>
      <c r="K252" s="290"/>
      <c r="L252" s="47">
        <v>33</v>
      </c>
      <c r="M252" s="262">
        <v>2302.5</v>
      </c>
      <c r="N252" s="47">
        <v>100</v>
      </c>
      <c r="O252" s="291">
        <v>953.53</v>
      </c>
      <c r="P252" s="291"/>
      <c r="Q252" s="291"/>
      <c r="R252" s="262">
        <v>69.77</v>
      </c>
      <c r="S252" s="262">
        <v>1023.3000000000001</v>
      </c>
      <c r="U252" s="149">
        <f t="shared" si="19"/>
        <v>49817</v>
      </c>
      <c r="V252" s="146">
        <f t="shared" si="20"/>
        <v>14.583333333333334</v>
      </c>
      <c r="W252" s="150">
        <f t="shared" si="21"/>
        <v>18.416666666666664</v>
      </c>
      <c r="X252" s="146">
        <f t="shared" si="22"/>
        <v>18.416666666666664</v>
      </c>
    </row>
    <row r="253" spans="1:24" ht="9.75" customHeight="1" x14ac:dyDescent="0.25">
      <c r="A253" s="288">
        <v>478</v>
      </c>
      <c r="B253" s="288"/>
      <c r="D253" s="258" t="s">
        <v>64</v>
      </c>
      <c r="E253" s="289">
        <v>37775</v>
      </c>
      <c r="F253" s="289"/>
      <c r="G253" s="289"/>
      <c r="H253" s="289"/>
      <c r="I253" s="290" t="s">
        <v>205</v>
      </c>
      <c r="J253" s="290"/>
      <c r="K253" s="290"/>
      <c r="L253" s="47">
        <v>33</v>
      </c>
      <c r="M253" s="262">
        <v>97.72</v>
      </c>
      <c r="N253" s="47">
        <v>100</v>
      </c>
      <c r="O253" s="291">
        <v>40.21</v>
      </c>
      <c r="P253" s="291"/>
      <c r="Q253" s="291"/>
      <c r="R253" s="262">
        <v>2.96</v>
      </c>
      <c r="S253" s="262">
        <v>43.17</v>
      </c>
      <c r="U253" s="149">
        <f t="shared" si="19"/>
        <v>49820</v>
      </c>
      <c r="V253" s="146">
        <f t="shared" si="20"/>
        <v>14.577777777777778</v>
      </c>
      <c r="W253" s="150">
        <f t="shared" si="21"/>
        <v>18.422222222222224</v>
      </c>
      <c r="X253" s="146">
        <f t="shared" si="22"/>
        <v>18.422222222222224</v>
      </c>
    </row>
    <row r="254" spans="1:24" ht="9.75" customHeight="1" x14ac:dyDescent="0.25">
      <c r="A254" s="288">
        <v>479</v>
      </c>
      <c r="B254" s="288"/>
      <c r="D254" s="258" t="s">
        <v>64</v>
      </c>
      <c r="E254" s="289">
        <v>37788</v>
      </c>
      <c r="F254" s="289"/>
      <c r="G254" s="289"/>
      <c r="H254" s="289"/>
      <c r="I254" s="290" t="s">
        <v>205</v>
      </c>
      <c r="J254" s="290"/>
      <c r="K254" s="290"/>
      <c r="L254" s="47">
        <v>33</v>
      </c>
      <c r="M254" s="262">
        <v>8324.91</v>
      </c>
      <c r="N254" s="47">
        <v>100</v>
      </c>
      <c r="O254" s="291">
        <v>3426.67</v>
      </c>
      <c r="P254" s="291"/>
      <c r="Q254" s="291"/>
      <c r="R254" s="262">
        <v>252.27</v>
      </c>
      <c r="S254" s="262">
        <v>3678.94</v>
      </c>
      <c r="U254" s="149">
        <f t="shared" si="19"/>
        <v>49833</v>
      </c>
      <c r="V254" s="146">
        <f t="shared" si="20"/>
        <v>14.541666666666666</v>
      </c>
      <c r="W254" s="150">
        <f t="shared" si="21"/>
        <v>18.458333333333336</v>
      </c>
      <c r="X254" s="146">
        <f t="shared" si="22"/>
        <v>18.458333333333336</v>
      </c>
    </row>
    <row r="255" spans="1:24" ht="9.75" customHeight="1" x14ac:dyDescent="0.25">
      <c r="A255" s="288">
        <v>480</v>
      </c>
      <c r="B255" s="288"/>
      <c r="D255" s="258" t="s">
        <v>64</v>
      </c>
      <c r="E255" s="289">
        <v>37802</v>
      </c>
      <c r="F255" s="289"/>
      <c r="G255" s="289"/>
      <c r="H255" s="289"/>
      <c r="I255" s="290" t="s">
        <v>205</v>
      </c>
      <c r="J255" s="290"/>
      <c r="K255" s="290"/>
      <c r="L255" s="47">
        <v>33</v>
      </c>
      <c r="M255" s="262">
        <v>712.5</v>
      </c>
      <c r="N255" s="47">
        <v>100</v>
      </c>
      <c r="O255" s="291">
        <v>293.26</v>
      </c>
      <c r="P255" s="291"/>
      <c r="Q255" s="291"/>
      <c r="R255" s="262">
        <v>21.59</v>
      </c>
      <c r="S255" s="262">
        <v>314.85000000000002</v>
      </c>
      <c r="U255" s="149">
        <f t="shared" si="19"/>
        <v>49847</v>
      </c>
      <c r="V255" s="146">
        <f t="shared" si="20"/>
        <v>14.5</v>
      </c>
      <c r="W255" s="150">
        <f t="shared" si="21"/>
        <v>18.5</v>
      </c>
      <c r="X255" s="146">
        <f t="shared" si="22"/>
        <v>18.5</v>
      </c>
    </row>
    <row r="256" spans="1:24" ht="9.75" customHeight="1" x14ac:dyDescent="0.25">
      <c r="A256" s="288">
        <v>486</v>
      </c>
      <c r="B256" s="288"/>
      <c r="D256" s="258" t="s">
        <v>64</v>
      </c>
      <c r="E256" s="289">
        <v>39660</v>
      </c>
      <c r="F256" s="289"/>
      <c r="G256" s="289"/>
      <c r="H256" s="289"/>
      <c r="I256" s="290" t="s">
        <v>205</v>
      </c>
      <c r="J256" s="290"/>
      <c r="K256" s="290"/>
      <c r="L256" s="47">
        <v>33</v>
      </c>
      <c r="M256" s="262">
        <v>3615</v>
      </c>
      <c r="N256" s="47">
        <v>100</v>
      </c>
      <c r="O256" s="291">
        <v>922.05000000000007</v>
      </c>
      <c r="P256" s="291"/>
      <c r="Q256" s="291"/>
      <c r="R256" s="262">
        <v>109.55</v>
      </c>
      <c r="S256" s="262">
        <v>1031.5999999999999</v>
      </c>
      <c r="U256" s="149">
        <f t="shared" si="19"/>
        <v>51705</v>
      </c>
      <c r="V256" s="146">
        <f t="shared" si="20"/>
        <v>9.4166666666666661</v>
      </c>
      <c r="W256" s="150">
        <f t="shared" si="21"/>
        <v>23.583333333333336</v>
      </c>
      <c r="X256" s="146">
        <f t="shared" si="22"/>
        <v>23.583333333333336</v>
      </c>
    </row>
    <row r="257" spans="1:24" ht="9.75" customHeight="1" x14ac:dyDescent="0.25">
      <c r="A257" s="288">
        <v>488</v>
      </c>
      <c r="B257" s="288"/>
      <c r="D257" s="258" t="s">
        <v>64</v>
      </c>
      <c r="E257" s="289">
        <v>37833</v>
      </c>
      <c r="F257" s="289"/>
      <c r="G257" s="289"/>
      <c r="H257" s="289"/>
      <c r="I257" s="290" t="s">
        <v>205</v>
      </c>
      <c r="J257" s="290"/>
      <c r="K257" s="290"/>
      <c r="L257" s="47">
        <v>33</v>
      </c>
      <c r="M257" s="262">
        <v>507.78000000000003</v>
      </c>
      <c r="N257" s="47">
        <v>100</v>
      </c>
      <c r="O257" s="291">
        <v>207.76</v>
      </c>
      <c r="P257" s="291"/>
      <c r="Q257" s="291"/>
      <c r="R257" s="262">
        <v>15.39</v>
      </c>
      <c r="S257" s="262">
        <v>223.15</v>
      </c>
      <c r="U257" s="149">
        <f t="shared" si="19"/>
        <v>49878</v>
      </c>
      <c r="V257" s="146">
        <f t="shared" si="20"/>
        <v>14.416666666666666</v>
      </c>
      <c r="W257" s="150">
        <f t="shared" si="21"/>
        <v>18.583333333333336</v>
      </c>
      <c r="X257" s="146">
        <f t="shared" si="22"/>
        <v>18.583333333333336</v>
      </c>
    </row>
    <row r="258" spans="1:24" ht="9.75" customHeight="1" x14ac:dyDescent="0.25">
      <c r="A258" s="288">
        <v>489</v>
      </c>
      <c r="B258" s="288"/>
      <c r="D258" s="258" t="s">
        <v>64</v>
      </c>
      <c r="E258" s="289">
        <v>37833</v>
      </c>
      <c r="F258" s="289"/>
      <c r="G258" s="289"/>
      <c r="H258" s="289"/>
      <c r="I258" s="290" t="s">
        <v>205</v>
      </c>
      <c r="J258" s="290"/>
      <c r="K258" s="290"/>
      <c r="L258" s="47">
        <v>33</v>
      </c>
      <c r="M258" s="262">
        <v>682.5</v>
      </c>
      <c r="N258" s="47">
        <v>100</v>
      </c>
      <c r="O258" s="291">
        <v>279.18</v>
      </c>
      <c r="P258" s="291"/>
      <c r="Q258" s="291"/>
      <c r="R258" s="262">
        <v>20.68</v>
      </c>
      <c r="S258" s="262">
        <v>299.86</v>
      </c>
      <c r="U258" s="149">
        <f t="shared" si="19"/>
        <v>49878</v>
      </c>
      <c r="V258" s="146">
        <f t="shared" si="20"/>
        <v>14.416666666666666</v>
      </c>
      <c r="W258" s="150">
        <f t="shared" si="21"/>
        <v>18.583333333333336</v>
      </c>
      <c r="X258" s="146">
        <f t="shared" si="22"/>
        <v>18.583333333333336</v>
      </c>
    </row>
    <row r="259" spans="1:24" ht="9.75" customHeight="1" x14ac:dyDescent="0.25">
      <c r="A259" s="288">
        <v>493</v>
      </c>
      <c r="B259" s="288"/>
      <c r="D259" s="258" t="s">
        <v>64</v>
      </c>
      <c r="E259" s="289">
        <v>37851</v>
      </c>
      <c r="F259" s="289"/>
      <c r="G259" s="289"/>
      <c r="H259" s="289"/>
      <c r="I259" s="290" t="s">
        <v>205</v>
      </c>
      <c r="J259" s="290"/>
      <c r="K259" s="290"/>
      <c r="L259" s="47">
        <v>33</v>
      </c>
      <c r="M259" s="262">
        <v>5849</v>
      </c>
      <c r="N259" s="47">
        <v>100</v>
      </c>
      <c r="O259" s="291">
        <v>2377.9699999999998</v>
      </c>
      <c r="P259" s="291"/>
      <c r="Q259" s="291"/>
      <c r="R259" s="262">
        <v>177.24</v>
      </c>
      <c r="S259" s="262">
        <v>2555.21</v>
      </c>
      <c r="U259" s="149">
        <f t="shared" si="19"/>
        <v>49896</v>
      </c>
      <c r="V259" s="146">
        <f t="shared" si="20"/>
        <v>14.369444444444444</v>
      </c>
      <c r="W259" s="150">
        <f t="shared" si="21"/>
        <v>18.630555555555556</v>
      </c>
      <c r="X259" s="146">
        <f t="shared" si="22"/>
        <v>18.630555555555556</v>
      </c>
    </row>
    <row r="260" spans="1:24" ht="9.75" customHeight="1" x14ac:dyDescent="0.25">
      <c r="A260" s="288">
        <v>494</v>
      </c>
      <c r="B260" s="288"/>
      <c r="D260" s="258" t="s">
        <v>64</v>
      </c>
      <c r="E260" s="289">
        <v>37858</v>
      </c>
      <c r="F260" s="289"/>
      <c r="G260" s="289"/>
      <c r="H260" s="289"/>
      <c r="I260" s="290" t="s">
        <v>205</v>
      </c>
      <c r="J260" s="290"/>
      <c r="K260" s="290"/>
      <c r="L260" s="47">
        <v>33</v>
      </c>
      <c r="M260" s="262">
        <v>7167</v>
      </c>
      <c r="N260" s="47">
        <v>100</v>
      </c>
      <c r="O260" s="291">
        <v>2913.83</v>
      </c>
      <c r="P260" s="291"/>
      <c r="Q260" s="291"/>
      <c r="R260" s="262">
        <v>217.18</v>
      </c>
      <c r="S260" s="262">
        <v>3131.01</v>
      </c>
      <c r="U260" s="149">
        <f t="shared" si="19"/>
        <v>49903</v>
      </c>
      <c r="V260" s="146">
        <f t="shared" si="20"/>
        <v>14.35</v>
      </c>
      <c r="W260" s="150">
        <f t="shared" si="21"/>
        <v>18.649999999999999</v>
      </c>
      <c r="X260" s="146">
        <f t="shared" si="22"/>
        <v>18.649999999999999</v>
      </c>
    </row>
    <row r="261" spans="1:24" ht="9.75" customHeight="1" x14ac:dyDescent="0.25">
      <c r="A261" s="288">
        <v>495</v>
      </c>
      <c r="B261" s="288"/>
      <c r="D261" s="258" t="s">
        <v>64</v>
      </c>
      <c r="E261" s="289">
        <v>37864</v>
      </c>
      <c r="F261" s="289"/>
      <c r="G261" s="289"/>
      <c r="H261" s="289"/>
      <c r="I261" s="290" t="s">
        <v>205</v>
      </c>
      <c r="J261" s="290"/>
      <c r="K261" s="290"/>
      <c r="L261" s="47">
        <v>33</v>
      </c>
      <c r="M261" s="262">
        <v>1980</v>
      </c>
      <c r="N261" s="47">
        <v>100</v>
      </c>
      <c r="O261" s="291">
        <v>805</v>
      </c>
      <c r="P261" s="291"/>
      <c r="Q261" s="291"/>
      <c r="R261" s="262">
        <v>60</v>
      </c>
      <c r="S261" s="262">
        <v>865</v>
      </c>
      <c r="U261" s="149">
        <f t="shared" si="19"/>
        <v>49909</v>
      </c>
      <c r="V261" s="146">
        <f t="shared" si="20"/>
        <v>14.333333333333334</v>
      </c>
      <c r="W261" s="150">
        <f t="shared" si="21"/>
        <v>18.666666666666664</v>
      </c>
      <c r="X261" s="146">
        <f t="shared" si="22"/>
        <v>18.666666666666664</v>
      </c>
    </row>
    <row r="262" spans="1:24" ht="9.75" customHeight="1" x14ac:dyDescent="0.25">
      <c r="A262" s="288">
        <v>501</v>
      </c>
      <c r="B262" s="288"/>
      <c r="D262" s="258" t="s">
        <v>64</v>
      </c>
      <c r="E262" s="289">
        <v>37879</v>
      </c>
      <c r="F262" s="289"/>
      <c r="G262" s="289"/>
      <c r="H262" s="289"/>
      <c r="I262" s="290" t="s">
        <v>205</v>
      </c>
      <c r="J262" s="290"/>
      <c r="K262" s="290"/>
      <c r="L262" s="47">
        <v>33</v>
      </c>
      <c r="M262" s="262">
        <v>8670</v>
      </c>
      <c r="N262" s="47">
        <v>100</v>
      </c>
      <c r="O262" s="291">
        <v>3503.07</v>
      </c>
      <c r="P262" s="291"/>
      <c r="Q262" s="291"/>
      <c r="R262" s="262">
        <v>262.73</v>
      </c>
      <c r="S262" s="262">
        <v>3765.8</v>
      </c>
      <c r="U262" s="149">
        <f t="shared" si="19"/>
        <v>49924</v>
      </c>
      <c r="V262" s="146">
        <f t="shared" si="20"/>
        <v>14.294444444444444</v>
      </c>
      <c r="W262" s="150">
        <f t="shared" si="21"/>
        <v>18.705555555555556</v>
      </c>
      <c r="X262" s="146">
        <f t="shared" si="22"/>
        <v>18.705555555555556</v>
      </c>
    </row>
    <row r="263" spans="1:24" ht="9.75" customHeight="1" x14ac:dyDescent="0.25">
      <c r="A263" s="288">
        <v>502</v>
      </c>
      <c r="B263" s="288"/>
      <c r="D263" s="258" t="s">
        <v>64</v>
      </c>
      <c r="E263" s="289">
        <v>37894</v>
      </c>
      <c r="F263" s="289"/>
      <c r="G263" s="289"/>
      <c r="H263" s="289"/>
      <c r="I263" s="290" t="s">
        <v>205</v>
      </c>
      <c r="J263" s="290"/>
      <c r="K263" s="290"/>
      <c r="L263" s="47">
        <v>33</v>
      </c>
      <c r="M263" s="262">
        <v>4230.62</v>
      </c>
      <c r="N263" s="47">
        <v>100</v>
      </c>
      <c r="O263" s="291">
        <v>1709.33</v>
      </c>
      <c r="P263" s="291"/>
      <c r="Q263" s="291"/>
      <c r="R263" s="262">
        <v>128.19999999999999</v>
      </c>
      <c r="S263" s="262">
        <v>1837.53</v>
      </c>
      <c r="U263" s="149">
        <f t="shared" si="19"/>
        <v>49939</v>
      </c>
      <c r="V263" s="146">
        <f t="shared" si="20"/>
        <v>14.25</v>
      </c>
      <c r="W263" s="150">
        <f t="shared" si="21"/>
        <v>18.75</v>
      </c>
      <c r="X263" s="146">
        <f t="shared" si="22"/>
        <v>18.75</v>
      </c>
    </row>
    <row r="264" spans="1:24" ht="9.75" customHeight="1" x14ac:dyDescent="0.25">
      <c r="A264" s="288">
        <v>503</v>
      </c>
      <c r="B264" s="288"/>
      <c r="D264" s="258" t="s">
        <v>64</v>
      </c>
      <c r="E264" s="289">
        <v>37894</v>
      </c>
      <c r="F264" s="289"/>
      <c r="G264" s="289"/>
      <c r="H264" s="289"/>
      <c r="I264" s="290" t="s">
        <v>205</v>
      </c>
      <c r="J264" s="290"/>
      <c r="K264" s="290"/>
      <c r="L264" s="47">
        <v>33</v>
      </c>
      <c r="M264" s="262">
        <v>1365</v>
      </c>
      <c r="N264" s="47">
        <v>100</v>
      </c>
      <c r="O264" s="291">
        <v>551.47</v>
      </c>
      <c r="P264" s="291"/>
      <c r="Q264" s="291"/>
      <c r="R264" s="262">
        <v>41.36</v>
      </c>
      <c r="S264" s="262">
        <v>592.83000000000004</v>
      </c>
      <c r="U264" s="149">
        <f t="shared" si="19"/>
        <v>49939</v>
      </c>
      <c r="V264" s="146">
        <f t="shared" si="20"/>
        <v>14.25</v>
      </c>
      <c r="W264" s="150">
        <f t="shared" si="21"/>
        <v>18.75</v>
      </c>
      <c r="X264" s="146">
        <f t="shared" si="22"/>
        <v>18.75</v>
      </c>
    </row>
    <row r="265" spans="1:24" ht="9.75" customHeight="1" x14ac:dyDescent="0.25">
      <c r="A265" s="288">
        <v>508</v>
      </c>
      <c r="B265" s="288"/>
      <c r="D265" s="258" t="s">
        <v>64</v>
      </c>
      <c r="E265" s="289">
        <v>37915</v>
      </c>
      <c r="F265" s="289"/>
      <c r="G265" s="289"/>
      <c r="H265" s="289"/>
      <c r="I265" s="290" t="s">
        <v>205</v>
      </c>
      <c r="J265" s="290"/>
      <c r="K265" s="290"/>
      <c r="L265" s="47">
        <v>33</v>
      </c>
      <c r="M265" s="262">
        <v>37.549999999999997</v>
      </c>
      <c r="N265" s="47">
        <v>100</v>
      </c>
      <c r="O265" s="291">
        <v>15.1</v>
      </c>
      <c r="P265" s="291"/>
      <c r="Q265" s="291"/>
      <c r="R265" s="262">
        <v>1.1399999999999999</v>
      </c>
      <c r="S265" s="262">
        <v>16.239999999999998</v>
      </c>
      <c r="U265" s="149">
        <f t="shared" si="19"/>
        <v>49960</v>
      </c>
      <c r="V265" s="146">
        <f t="shared" si="20"/>
        <v>14.194444444444445</v>
      </c>
      <c r="W265" s="150">
        <f t="shared" si="21"/>
        <v>18.805555555555557</v>
      </c>
      <c r="X265" s="146">
        <f t="shared" si="22"/>
        <v>18.805555555555557</v>
      </c>
    </row>
    <row r="266" spans="1:24" ht="9.75" customHeight="1" x14ac:dyDescent="0.25">
      <c r="A266" s="288">
        <v>509</v>
      </c>
      <c r="B266" s="288"/>
      <c r="D266" s="258" t="s">
        <v>64</v>
      </c>
      <c r="E266" s="289">
        <v>37925</v>
      </c>
      <c r="F266" s="289"/>
      <c r="G266" s="289"/>
      <c r="H266" s="289"/>
      <c r="I266" s="290" t="s">
        <v>205</v>
      </c>
      <c r="J266" s="290"/>
      <c r="K266" s="290"/>
      <c r="L266" s="47">
        <v>33</v>
      </c>
      <c r="M266" s="262">
        <v>287.05</v>
      </c>
      <c r="N266" s="47">
        <v>100</v>
      </c>
      <c r="O266" s="291">
        <v>115.27</v>
      </c>
      <c r="P266" s="291"/>
      <c r="Q266" s="291"/>
      <c r="R266" s="262">
        <v>8.6999999999999993</v>
      </c>
      <c r="S266" s="262">
        <v>123.97</v>
      </c>
      <c r="U266" s="149">
        <f t="shared" si="19"/>
        <v>49970</v>
      </c>
      <c r="V266" s="146">
        <f t="shared" si="20"/>
        <v>14.166666666666666</v>
      </c>
      <c r="W266" s="150">
        <f t="shared" si="21"/>
        <v>18.833333333333336</v>
      </c>
      <c r="X266" s="146">
        <f t="shared" si="22"/>
        <v>18.833333333333336</v>
      </c>
    </row>
    <row r="267" spans="1:24" ht="9.75" customHeight="1" x14ac:dyDescent="0.25">
      <c r="A267" s="288">
        <v>510</v>
      </c>
      <c r="B267" s="288"/>
      <c r="D267" s="258" t="s">
        <v>64</v>
      </c>
      <c r="E267" s="289">
        <v>37925</v>
      </c>
      <c r="F267" s="289"/>
      <c r="G267" s="289"/>
      <c r="H267" s="289"/>
      <c r="I267" s="290" t="s">
        <v>205</v>
      </c>
      <c r="J267" s="290"/>
      <c r="K267" s="290"/>
      <c r="L267" s="47">
        <v>33</v>
      </c>
      <c r="M267" s="262">
        <v>1035</v>
      </c>
      <c r="N267" s="47">
        <v>100</v>
      </c>
      <c r="O267" s="291">
        <v>415.52</v>
      </c>
      <c r="P267" s="291"/>
      <c r="Q267" s="291"/>
      <c r="R267" s="262">
        <v>31.36</v>
      </c>
      <c r="S267" s="262">
        <v>446.88</v>
      </c>
      <c r="U267" s="149">
        <f t="shared" si="19"/>
        <v>49970</v>
      </c>
      <c r="V267" s="146">
        <f t="shared" si="20"/>
        <v>14.166666666666666</v>
      </c>
      <c r="W267" s="150">
        <f t="shared" si="21"/>
        <v>18.833333333333336</v>
      </c>
      <c r="X267" s="146">
        <f t="shared" si="22"/>
        <v>18.833333333333336</v>
      </c>
    </row>
    <row r="268" spans="1:24" ht="9.75" customHeight="1" x14ac:dyDescent="0.25">
      <c r="A268" s="288">
        <v>515</v>
      </c>
      <c r="B268" s="288"/>
      <c r="D268" s="258" t="s">
        <v>64</v>
      </c>
      <c r="E268" s="289">
        <v>37928</v>
      </c>
      <c r="F268" s="289"/>
      <c r="G268" s="289"/>
      <c r="H268" s="289"/>
      <c r="I268" s="290" t="s">
        <v>205</v>
      </c>
      <c r="J268" s="290"/>
      <c r="K268" s="290"/>
      <c r="L268" s="47">
        <v>33</v>
      </c>
      <c r="M268" s="262">
        <v>509.04</v>
      </c>
      <c r="N268" s="47">
        <v>100</v>
      </c>
      <c r="O268" s="291">
        <v>203.16</v>
      </c>
      <c r="P268" s="291"/>
      <c r="Q268" s="291"/>
      <c r="R268" s="262">
        <v>15.43</v>
      </c>
      <c r="S268" s="262">
        <v>218.59</v>
      </c>
      <c r="U268" s="149">
        <f t="shared" si="19"/>
        <v>49973</v>
      </c>
      <c r="V268" s="146">
        <f t="shared" si="20"/>
        <v>14.161111111111111</v>
      </c>
      <c r="W268" s="150">
        <f t="shared" si="21"/>
        <v>18.838888888888889</v>
      </c>
      <c r="X268" s="146">
        <f t="shared" si="22"/>
        <v>18.838888888888889</v>
      </c>
    </row>
    <row r="269" spans="1:24" ht="9.75" customHeight="1" x14ac:dyDescent="0.25">
      <c r="A269" s="288">
        <v>516</v>
      </c>
      <c r="B269" s="288"/>
      <c r="D269" s="258" t="s">
        <v>64</v>
      </c>
      <c r="E269" s="289">
        <v>37955</v>
      </c>
      <c r="F269" s="289"/>
      <c r="G269" s="289"/>
      <c r="H269" s="289"/>
      <c r="I269" s="290" t="s">
        <v>205</v>
      </c>
      <c r="J269" s="290"/>
      <c r="K269" s="290"/>
      <c r="L269" s="47">
        <v>33</v>
      </c>
      <c r="M269" s="262">
        <v>1665</v>
      </c>
      <c r="N269" s="47">
        <v>100</v>
      </c>
      <c r="O269" s="291">
        <v>664.26</v>
      </c>
      <c r="P269" s="291"/>
      <c r="Q269" s="291"/>
      <c r="R269" s="262">
        <v>50.45</v>
      </c>
      <c r="S269" s="262">
        <v>714.71</v>
      </c>
      <c r="U269" s="149">
        <f t="shared" si="19"/>
        <v>50000</v>
      </c>
      <c r="V269" s="146">
        <f t="shared" si="20"/>
        <v>14.083333333333334</v>
      </c>
      <c r="W269" s="150">
        <f t="shared" si="21"/>
        <v>18.916666666666664</v>
      </c>
      <c r="X269" s="146">
        <f t="shared" si="22"/>
        <v>18.916666666666664</v>
      </c>
    </row>
    <row r="270" spans="1:24" ht="9.75" customHeight="1" x14ac:dyDescent="0.25">
      <c r="A270" s="288">
        <v>522</v>
      </c>
      <c r="B270" s="288"/>
      <c r="D270" s="258" t="s">
        <v>64</v>
      </c>
      <c r="E270" s="289">
        <v>37986</v>
      </c>
      <c r="F270" s="289"/>
      <c r="G270" s="289"/>
      <c r="H270" s="289"/>
      <c r="I270" s="290" t="s">
        <v>205</v>
      </c>
      <c r="J270" s="290"/>
      <c r="K270" s="290"/>
      <c r="L270" s="47">
        <v>33</v>
      </c>
      <c r="M270" s="262">
        <v>2407.86</v>
      </c>
      <c r="N270" s="47">
        <v>100</v>
      </c>
      <c r="O270" s="291">
        <v>954.69</v>
      </c>
      <c r="P270" s="291"/>
      <c r="Q270" s="291"/>
      <c r="R270" s="262">
        <v>72.97</v>
      </c>
      <c r="S270" s="262">
        <v>1027.6600000000001</v>
      </c>
      <c r="U270" s="149">
        <f t="shared" si="19"/>
        <v>50031</v>
      </c>
      <c r="V270" s="146">
        <f t="shared" si="20"/>
        <v>14</v>
      </c>
      <c r="W270" s="150">
        <f t="shared" si="21"/>
        <v>19</v>
      </c>
      <c r="X270" s="146">
        <f t="shared" si="22"/>
        <v>19</v>
      </c>
    </row>
    <row r="271" spans="1:24" ht="9.75" customHeight="1" x14ac:dyDescent="0.25">
      <c r="A271" s="288">
        <v>523</v>
      </c>
      <c r="B271" s="288"/>
      <c r="D271" s="258" t="s">
        <v>64</v>
      </c>
      <c r="E271" s="289">
        <v>37986</v>
      </c>
      <c r="F271" s="289"/>
      <c r="G271" s="289"/>
      <c r="H271" s="289"/>
      <c r="I271" s="290" t="s">
        <v>205</v>
      </c>
      <c r="J271" s="290"/>
      <c r="K271" s="290"/>
      <c r="L271" s="47">
        <v>33</v>
      </c>
      <c r="M271" s="262">
        <v>120</v>
      </c>
      <c r="N271" s="47">
        <v>100</v>
      </c>
      <c r="O271" s="291">
        <v>47.62</v>
      </c>
      <c r="P271" s="291"/>
      <c r="Q271" s="291"/>
      <c r="R271" s="262">
        <v>3.64</v>
      </c>
      <c r="S271" s="262">
        <v>51.26</v>
      </c>
      <c r="U271" s="149">
        <f t="shared" si="19"/>
        <v>50031</v>
      </c>
      <c r="V271" s="146">
        <f t="shared" si="20"/>
        <v>14</v>
      </c>
      <c r="W271" s="150">
        <f t="shared" si="21"/>
        <v>19</v>
      </c>
      <c r="X271" s="146">
        <f t="shared" si="22"/>
        <v>19</v>
      </c>
    </row>
    <row r="272" spans="1:24" ht="9.75" customHeight="1" x14ac:dyDescent="0.25">
      <c r="A272" s="288">
        <v>538</v>
      </c>
      <c r="B272" s="288"/>
      <c r="D272" s="258" t="s">
        <v>64</v>
      </c>
      <c r="E272" s="289">
        <v>38046</v>
      </c>
      <c r="F272" s="289"/>
      <c r="G272" s="289"/>
      <c r="H272" s="289"/>
      <c r="I272" s="290" t="s">
        <v>205</v>
      </c>
      <c r="J272" s="290"/>
      <c r="K272" s="290"/>
      <c r="L272" s="47">
        <v>33</v>
      </c>
      <c r="M272" s="262">
        <v>187.5</v>
      </c>
      <c r="N272" s="47">
        <v>100</v>
      </c>
      <c r="O272" s="291">
        <v>72.89</v>
      </c>
      <c r="P272" s="291"/>
      <c r="Q272" s="291"/>
      <c r="R272" s="262">
        <v>5.68</v>
      </c>
      <c r="S272" s="262">
        <v>78.569999999999993</v>
      </c>
      <c r="U272" s="149">
        <f t="shared" si="19"/>
        <v>50091</v>
      </c>
      <c r="V272" s="146">
        <f t="shared" si="20"/>
        <v>13.83611111111111</v>
      </c>
      <c r="W272" s="150">
        <f t="shared" si="21"/>
        <v>19.163888888888891</v>
      </c>
      <c r="X272" s="146">
        <f t="shared" si="22"/>
        <v>19.163888888888891</v>
      </c>
    </row>
    <row r="273" spans="1:24" ht="9.75" customHeight="1" x14ac:dyDescent="0.25">
      <c r="A273" s="288">
        <v>542</v>
      </c>
      <c r="B273" s="288"/>
      <c r="D273" s="258" t="s">
        <v>64</v>
      </c>
      <c r="E273" s="289">
        <v>38077</v>
      </c>
      <c r="F273" s="289"/>
      <c r="G273" s="289"/>
      <c r="H273" s="289"/>
      <c r="I273" s="290" t="s">
        <v>205</v>
      </c>
      <c r="J273" s="290"/>
      <c r="K273" s="290"/>
      <c r="L273" s="47">
        <v>33</v>
      </c>
      <c r="M273" s="262">
        <v>155.6</v>
      </c>
      <c r="N273" s="47">
        <v>100</v>
      </c>
      <c r="O273" s="291">
        <v>60.18</v>
      </c>
      <c r="P273" s="291"/>
      <c r="Q273" s="291"/>
      <c r="R273" s="262">
        <v>4.72</v>
      </c>
      <c r="S273" s="262">
        <v>64.900000000000006</v>
      </c>
      <c r="U273" s="149">
        <f t="shared" si="19"/>
        <v>50122</v>
      </c>
      <c r="V273" s="146">
        <f t="shared" si="20"/>
        <v>13.75</v>
      </c>
      <c r="W273" s="150">
        <f t="shared" si="21"/>
        <v>19.25</v>
      </c>
      <c r="X273" s="146">
        <f t="shared" si="22"/>
        <v>19.25</v>
      </c>
    </row>
    <row r="274" spans="1:24" ht="9.75" customHeight="1" x14ac:dyDescent="0.25">
      <c r="A274" s="288">
        <v>543</v>
      </c>
      <c r="B274" s="288"/>
      <c r="D274" s="258" t="s">
        <v>64</v>
      </c>
      <c r="E274" s="289">
        <v>38077</v>
      </c>
      <c r="F274" s="289"/>
      <c r="G274" s="289"/>
      <c r="H274" s="289"/>
      <c r="I274" s="290" t="s">
        <v>205</v>
      </c>
      <c r="J274" s="290"/>
      <c r="K274" s="290"/>
      <c r="L274" s="47">
        <v>33</v>
      </c>
      <c r="M274" s="262">
        <v>907.5</v>
      </c>
      <c r="N274" s="47">
        <v>100</v>
      </c>
      <c r="O274" s="291">
        <v>350.63</v>
      </c>
      <c r="P274" s="291"/>
      <c r="Q274" s="291"/>
      <c r="R274" s="262">
        <v>27.5</v>
      </c>
      <c r="S274" s="262">
        <v>378.13</v>
      </c>
      <c r="U274" s="149">
        <f t="shared" si="19"/>
        <v>50122</v>
      </c>
      <c r="V274" s="146">
        <f t="shared" si="20"/>
        <v>13.75</v>
      </c>
      <c r="W274" s="150">
        <f t="shared" si="21"/>
        <v>19.25</v>
      </c>
      <c r="X274" s="146">
        <f t="shared" ref="X274:X305" si="23">IF(W274=0,0,W274)</f>
        <v>19.25</v>
      </c>
    </row>
    <row r="275" spans="1:24" ht="9.75" customHeight="1" x14ac:dyDescent="0.25">
      <c r="A275" s="288">
        <v>548</v>
      </c>
      <c r="B275" s="288"/>
      <c r="D275" s="258" t="s">
        <v>64</v>
      </c>
      <c r="E275" s="289">
        <v>38103</v>
      </c>
      <c r="F275" s="289"/>
      <c r="G275" s="289"/>
      <c r="H275" s="289"/>
      <c r="I275" s="290" t="s">
        <v>205</v>
      </c>
      <c r="J275" s="290"/>
      <c r="K275" s="290"/>
      <c r="L275" s="47">
        <v>33</v>
      </c>
      <c r="M275" s="262">
        <v>12299</v>
      </c>
      <c r="N275" s="47">
        <v>100</v>
      </c>
      <c r="O275" s="291">
        <v>4720.8599999999997</v>
      </c>
      <c r="P275" s="291"/>
      <c r="Q275" s="291"/>
      <c r="R275" s="262">
        <v>372.7</v>
      </c>
      <c r="S275" s="262">
        <v>5093.5600000000004</v>
      </c>
      <c r="U275" s="149">
        <f t="shared" si="19"/>
        <v>50148</v>
      </c>
      <c r="V275" s="146">
        <f t="shared" si="20"/>
        <v>13.680555555555555</v>
      </c>
      <c r="W275" s="150">
        <f t="shared" si="21"/>
        <v>19.319444444444443</v>
      </c>
      <c r="X275" s="146">
        <f t="shared" si="23"/>
        <v>19.319444444444443</v>
      </c>
    </row>
    <row r="276" spans="1:24" ht="9.75" customHeight="1" x14ac:dyDescent="0.25">
      <c r="A276" s="288">
        <v>549</v>
      </c>
      <c r="B276" s="288"/>
      <c r="D276" s="258" t="s">
        <v>64</v>
      </c>
      <c r="E276" s="289">
        <v>38107</v>
      </c>
      <c r="F276" s="289"/>
      <c r="G276" s="289"/>
      <c r="H276" s="289"/>
      <c r="I276" s="290" t="s">
        <v>205</v>
      </c>
      <c r="J276" s="290"/>
      <c r="K276" s="290"/>
      <c r="L276" s="47">
        <v>33</v>
      </c>
      <c r="M276" s="262">
        <v>3262.5</v>
      </c>
      <c r="N276" s="47">
        <v>100</v>
      </c>
      <c r="O276" s="291">
        <v>1252.23</v>
      </c>
      <c r="P276" s="291"/>
      <c r="Q276" s="291"/>
      <c r="R276" s="262">
        <v>98.86</v>
      </c>
      <c r="S276" s="262">
        <v>1351.09</v>
      </c>
      <c r="U276" s="149">
        <f t="shared" si="19"/>
        <v>50152</v>
      </c>
      <c r="V276" s="146">
        <f t="shared" si="20"/>
        <v>13.666666666666666</v>
      </c>
      <c r="W276" s="150">
        <f t="shared" si="21"/>
        <v>19.333333333333336</v>
      </c>
      <c r="X276" s="146">
        <f t="shared" si="23"/>
        <v>19.333333333333336</v>
      </c>
    </row>
    <row r="277" spans="1:24" ht="9.75" customHeight="1" x14ac:dyDescent="0.25">
      <c r="A277" s="288">
        <v>554</v>
      </c>
      <c r="B277" s="288"/>
      <c r="D277" s="258" t="s">
        <v>64</v>
      </c>
      <c r="E277" s="289">
        <v>38111</v>
      </c>
      <c r="F277" s="289"/>
      <c r="G277" s="289"/>
      <c r="H277" s="289"/>
      <c r="I277" s="290" t="s">
        <v>205</v>
      </c>
      <c r="J277" s="290"/>
      <c r="K277" s="290"/>
      <c r="L277" s="47">
        <v>33</v>
      </c>
      <c r="M277" s="262">
        <v>756.05000000000007</v>
      </c>
      <c r="N277" s="47">
        <v>100</v>
      </c>
      <c r="O277" s="291">
        <v>290.19</v>
      </c>
      <c r="P277" s="291"/>
      <c r="Q277" s="291"/>
      <c r="R277" s="262">
        <v>22.91</v>
      </c>
      <c r="S277" s="262">
        <v>313.10000000000002</v>
      </c>
      <c r="U277" s="149">
        <f t="shared" si="19"/>
        <v>50156</v>
      </c>
      <c r="V277" s="146">
        <f t="shared" si="20"/>
        <v>13.658333333333333</v>
      </c>
      <c r="W277" s="150">
        <f t="shared" si="21"/>
        <v>19.341666666666669</v>
      </c>
      <c r="X277" s="146">
        <f t="shared" si="23"/>
        <v>19.341666666666669</v>
      </c>
    </row>
    <row r="278" spans="1:24" ht="9.75" customHeight="1" x14ac:dyDescent="0.25">
      <c r="A278" s="288">
        <v>555</v>
      </c>
      <c r="B278" s="288"/>
      <c r="D278" s="258" t="s">
        <v>64</v>
      </c>
      <c r="E278" s="289">
        <v>38128</v>
      </c>
      <c r="F278" s="289"/>
      <c r="G278" s="289"/>
      <c r="H278" s="289"/>
      <c r="I278" s="290" t="s">
        <v>205</v>
      </c>
      <c r="J278" s="290"/>
      <c r="K278" s="290"/>
      <c r="L278" s="47">
        <v>33</v>
      </c>
      <c r="M278" s="262">
        <v>25683.100000000002</v>
      </c>
      <c r="N278" s="47">
        <v>100</v>
      </c>
      <c r="O278" s="291">
        <v>9793.35</v>
      </c>
      <c r="P278" s="291"/>
      <c r="Q278" s="291"/>
      <c r="R278" s="262">
        <v>778.28</v>
      </c>
      <c r="S278" s="262">
        <v>10571.630000000001</v>
      </c>
      <c r="U278" s="149">
        <f t="shared" si="19"/>
        <v>50173</v>
      </c>
      <c r="V278" s="146">
        <f t="shared" si="20"/>
        <v>13.611111111111111</v>
      </c>
      <c r="W278" s="150">
        <f t="shared" si="21"/>
        <v>19.388888888888889</v>
      </c>
      <c r="X278" s="146">
        <f t="shared" si="23"/>
        <v>19.388888888888889</v>
      </c>
    </row>
    <row r="279" spans="1:24" ht="9.75" customHeight="1" x14ac:dyDescent="0.25">
      <c r="A279" s="288">
        <v>556</v>
      </c>
      <c r="B279" s="288"/>
      <c r="D279" s="258" t="s">
        <v>64</v>
      </c>
      <c r="E279" s="289">
        <v>38138</v>
      </c>
      <c r="F279" s="289"/>
      <c r="G279" s="289"/>
      <c r="H279" s="289"/>
      <c r="I279" s="290" t="s">
        <v>205</v>
      </c>
      <c r="J279" s="290"/>
      <c r="K279" s="290"/>
      <c r="L279" s="47">
        <v>33</v>
      </c>
      <c r="M279" s="262">
        <v>6933.64</v>
      </c>
      <c r="N279" s="47">
        <v>100</v>
      </c>
      <c r="O279" s="291">
        <v>2643.88</v>
      </c>
      <c r="P279" s="291"/>
      <c r="Q279" s="291"/>
      <c r="R279" s="262">
        <v>210.11</v>
      </c>
      <c r="S279" s="262">
        <v>2853.9900000000002</v>
      </c>
      <c r="U279" s="149">
        <f t="shared" si="19"/>
        <v>50183</v>
      </c>
      <c r="V279" s="146">
        <f t="shared" si="20"/>
        <v>13.583333333333334</v>
      </c>
      <c r="W279" s="150">
        <f t="shared" si="21"/>
        <v>19.416666666666664</v>
      </c>
      <c r="X279" s="146">
        <f t="shared" si="23"/>
        <v>19.416666666666664</v>
      </c>
    </row>
    <row r="280" spans="1:24" ht="9.75" customHeight="1" x14ac:dyDescent="0.25">
      <c r="A280" s="288">
        <v>557</v>
      </c>
      <c r="B280" s="288"/>
      <c r="D280" s="258" t="s">
        <v>64</v>
      </c>
      <c r="E280" s="289">
        <v>38138</v>
      </c>
      <c r="F280" s="289"/>
      <c r="G280" s="289"/>
      <c r="H280" s="289"/>
      <c r="I280" s="290" t="s">
        <v>205</v>
      </c>
      <c r="J280" s="290"/>
      <c r="K280" s="290"/>
      <c r="L280" s="47">
        <v>33</v>
      </c>
      <c r="M280" s="262">
        <v>2857.5</v>
      </c>
      <c r="N280" s="47">
        <v>100</v>
      </c>
      <c r="O280" s="291">
        <v>1089.5899999999999</v>
      </c>
      <c r="P280" s="291"/>
      <c r="Q280" s="291"/>
      <c r="R280" s="262">
        <v>86.59</v>
      </c>
      <c r="S280" s="262">
        <v>1176.18</v>
      </c>
      <c r="U280" s="149">
        <f t="shared" si="19"/>
        <v>50183</v>
      </c>
      <c r="V280" s="146">
        <f t="shared" si="20"/>
        <v>13.583333333333334</v>
      </c>
      <c r="W280" s="150">
        <f t="shared" si="21"/>
        <v>19.416666666666664</v>
      </c>
      <c r="X280" s="146">
        <f t="shared" si="23"/>
        <v>19.416666666666664</v>
      </c>
    </row>
    <row r="281" spans="1:24" ht="9.75" customHeight="1" x14ac:dyDescent="0.25">
      <c r="A281" s="288">
        <v>560</v>
      </c>
      <c r="B281" s="288"/>
      <c r="D281" s="258" t="s">
        <v>64</v>
      </c>
      <c r="E281" s="289">
        <v>38159</v>
      </c>
      <c r="F281" s="289"/>
      <c r="G281" s="289"/>
      <c r="H281" s="289"/>
      <c r="I281" s="290" t="s">
        <v>205</v>
      </c>
      <c r="J281" s="290"/>
      <c r="K281" s="290"/>
      <c r="L281" s="47">
        <v>33</v>
      </c>
      <c r="M281" s="262">
        <v>55</v>
      </c>
      <c r="N281" s="47">
        <v>100</v>
      </c>
      <c r="O281" s="291">
        <v>20.87</v>
      </c>
      <c r="P281" s="291"/>
      <c r="Q281" s="291"/>
      <c r="R281" s="262">
        <v>1.67</v>
      </c>
      <c r="S281" s="262">
        <v>22.54</v>
      </c>
      <c r="U281" s="149">
        <f t="shared" si="19"/>
        <v>50204</v>
      </c>
      <c r="V281" s="146">
        <f t="shared" si="20"/>
        <v>13.527777777777779</v>
      </c>
      <c r="W281" s="150">
        <f t="shared" si="21"/>
        <v>19.472222222222221</v>
      </c>
      <c r="X281" s="146">
        <f t="shared" si="23"/>
        <v>19.472222222222221</v>
      </c>
    </row>
    <row r="282" spans="1:24" ht="9.75" customHeight="1" x14ac:dyDescent="0.25">
      <c r="A282" s="288">
        <v>561</v>
      </c>
      <c r="B282" s="288"/>
      <c r="D282" s="258" t="s">
        <v>64</v>
      </c>
      <c r="E282" s="289">
        <v>38168</v>
      </c>
      <c r="F282" s="289"/>
      <c r="G282" s="289"/>
      <c r="H282" s="289"/>
      <c r="I282" s="290" t="s">
        <v>205</v>
      </c>
      <c r="J282" s="290"/>
      <c r="K282" s="290"/>
      <c r="L282" s="47">
        <v>33</v>
      </c>
      <c r="M282" s="262">
        <v>945</v>
      </c>
      <c r="N282" s="47">
        <v>100</v>
      </c>
      <c r="O282" s="291">
        <v>358</v>
      </c>
      <c r="P282" s="291"/>
      <c r="Q282" s="291"/>
      <c r="R282" s="262">
        <v>28.64</v>
      </c>
      <c r="S282" s="262">
        <v>386.64</v>
      </c>
      <c r="U282" s="149">
        <f t="shared" si="19"/>
        <v>50213</v>
      </c>
      <c r="V282" s="146">
        <f t="shared" si="20"/>
        <v>13.5</v>
      </c>
      <c r="W282" s="150">
        <f t="shared" si="21"/>
        <v>19.5</v>
      </c>
      <c r="X282" s="146">
        <f t="shared" si="23"/>
        <v>19.5</v>
      </c>
    </row>
    <row r="283" spans="1:24" ht="9.75" customHeight="1" x14ac:dyDescent="0.25">
      <c r="A283" s="288">
        <v>567</v>
      </c>
      <c r="B283" s="288"/>
      <c r="D283" s="258" t="s">
        <v>64</v>
      </c>
      <c r="E283" s="289">
        <v>38199</v>
      </c>
      <c r="F283" s="289"/>
      <c r="G283" s="289"/>
      <c r="H283" s="289"/>
      <c r="I283" s="290" t="s">
        <v>205</v>
      </c>
      <c r="J283" s="290"/>
      <c r="K283" s="290"/>
      <c r="L283" s="47">
        <v>33</v>
      </c>
      <c r="M283" s="262">
        <v>677.65</v>
      </c>
      <c r="N283" s="47">
        <v>100</v>
      </c>
      <c r="O283" s="291">
        <v>254.92000000000002</v>
      </c>
      <c r="P283" s="291"/>
      <c r="Q283" s="291"/>
      <c r="R283" s="262">
        <v>20.53</v>
      </c>
      <c r="S283" s="262">
        <v>275.45</v>
      </c>
      <c r="U283" s="149">
        <f t="shared" si="19"/>
        <v>50244</v>
      </c>
      <c r="V283" s="146">
        <f t="shared" si="20"/>
        <v>13.416666666666666</v>
      </c>
      <c r="W283" s="150">
        <f t="shared" si="21"/>
        <v>19.583333333333336</v>
      </c>
      <c r="X283" s="146">
        <f t="shared" si="23"/>
        <v>19.583333333333336</v>
      </c>
    </row>
    <row r="284" spans="1:24" ht="9.75" customHeight="1" x14ac:dyDescent="0.25">
      <c r="A284" s="288">
        <v>568</v>
      </c>
      <c r="B284" s="288"/>
      <c r="D284" s="258" t="s">
        <v>64</v>
      </c>
      <c r="E284" s="289">
        <v>38199</v>
      </c>
      <c r="F284" s="289"/>
      <c r="G284" s="289"/>
      <c r="H284" s="289"/>
      <c r="I284" s="290" t="s">
        <v>205</v>
      </c>
      <c r="J284" s="290"/>
      <c r="K284" s="290"/>
      <c r="L284" s="47">
        <v>33</v>
      </c>
      <c r="M284" s="262">
        <v>750</v>
      </c>
      <c r="N284" s="47">
        <v>100</v>
      </c>
      <c r="O284" s="291">
        <v>282.23</v>
      </c>
      <c r="P284" s="291"/>
      <c r="Q284" s="291"/>
      <c r="R284" s="262">
        <v>22.73</v>
      </c>
      <c r="S284" s="262">
        <v>304.95999999999998</v>
      </c>
      <c r="U284" s="149">
        <f t="shared" si="19"/>
        <v>50244</v>
      </c>
      <c r="V284" s="146">
        <f t="shared" si="20"/>
        <v>13.416666666666666</v>
      </c>
      <c r="W284" s="150">
        <f t="shared" si="21"/>
        <v>19.583333333333336</v>
      </c>
      <c r="X284" s="146">
        <f t="shared" si="23"/>
        <v>19.583333333333336</v>
      </c>
    </row>
    <row r="285" spans="1:24" ht="9.75" customHeight="1" x14ac:dyDescent="0.25">
      <c r="A285" s="288">
        <v>572</v>
      </c>
      <c r="B285" s="288"/>
      <c r="D285" s="258" t="s">
        <v>64</v>
      </c>
      <c r="E285" s="289">
        <v>38230</v>
      </c>
      <c r="F285" s="289"/>
      <c r="G285" s="289"/>
      <c r="H285" s="289"/>
      <c r="I285" s="290" t="s">
        <v>205</v>
      </c>
      <c r="J285" s="290"/>
      <c r="K285" s="290"/>
      <c r="L285" s="47">
        <v>33</v>
      </c>
      <c r="M285" s="262">
        <v>45</v>
      </c>
      <c r="N285" s="47">
        <v>100</v>
      </c>
      <c r="O285" s="291">
        <v>16.77</v>
      </c>
      <c r="P285" s="291"/>
      <c r="Q285" s="291"/>
      <c r="R285" s="262">
        <v>1.36</v>
      </c>
      <c r="S285" s="262">
        <v>18.13</v>
      </c>
      <c r="U285" s="149">
        <f t="shared" si="19"/>
        <v>50275</v>
      </c>
      <c r="V285" s="146">
        <f t="shared" si="20"/>
        <v>13.333333333333334</v>
      </c>
      <c r="W285" s="150">
        <f t="shared" si="21"/>
        <v>19.666666666666664</v>
      </c>
      <c r="X285" s="146">
        <f t="shared" si="23"/>
        <v>19.666666666666664</v>
      </c>
    </row>
    <row r="286" spans="1:24" ht="9.75" customHeight="1" x14ac:dyDescent="0.25">
      <c r="A286" s="288">
        <v>581</v>
      </c>
      <c r="B286" s="288"/>
      <c r="D286" s="258" t="s">
        <v>64</v>
      </c>
      <c r="E286" s="289">
        <v>38260</v>
      </c>
      <c r="F286" s="289"/>
      <c r="G286" s="289"/>
      <c r="H286" s="289"/>
      <c r="I286" s="290" t="s">
        <v>205</v>
      </c>
      <c r="J286" s="290"/>
      <c r="K286" s="290"/>
      <c r="L286" s="47">
        <v>33</v>
      </c>
      <c r="M286" s="262">
        <v>56.97</v>
      </c>
      <c r="N286" s="47">
        <v>100</v>
      </c>
      <c r="O286" s="291">
        <v>21.19</v>
      </c>
      <c r="P286" s="291"/>
      <c r="Q286" s="291"/>
      <c r="R286" s="262">
        <v>1.73</v>
      </c>
      <c r="S286" s="262">
        <v>22.92</v>
      </c>
      <c r="U286" s="149">
        <f t="shared" si="19"/>
        <v>50305</v>
      </c>
      <c r="V286" s="146">
        <f t="shared" si="20"/>
        <v>13.25</v>
      </c>
      <c r="W286" s="150">
        <f t="shared" si="21"/>
        <v>19.75</v>
      </c>
      <c r="X286" s="146">
        <f t="shared" si="23"/>
        <v>19.75</v>
      </c>
    </row>
    <row r="287" spans="1:24" ht="9.75" customHeight="1" x14ac:dyDescent="0.25">
      <c r="A287" s="288">
        <v>582</v>
      </c>
      <c r="B287" s="288"/>
      <c r="D287" s="258" t="s">
        <v>64</v>
      </c>
      <c r="E287" s="289">
        <v>38260</v>
      </c>
      <c r="F287" s="289"/>
      <c r="G287" s="289"/>
      <c r="H287" s="289"/>
      <c r="I287" s="290" t="s">
        <v>205</v>
      </c>
      <c r="J287" s="290"/>
      <c r="K287" s="290"/>
      <c r="L287" s="47">
        <v>33</v>
      </c>
      <c r="M287" s="262">
        <v>435</v>
      </c>
      <c r="N287" s="47">
        <v>100</v>
      </c>
      <c r="O287" s="291">
        <v>161.46</v>
      </c>
      <c r="P287" s="291"/>
      <c r="Q287" s="291"/>
      <c r="R287" s="262">
        <v>13.18</v>
      </c>
      <c r="S287" s="262">
        <v>174.64000000000001</v>
      </c>
      <c r="U287" s="149">
        <f t="shared" si="19"/>
        <v>50305</v>
      </c>
      <c r="V287" s="146">
        <f t="shared" si="20"/>
        <v>13.25</v>
      </c>
      <c r="W287" s="150">
        <f t="shared" si="21"/>
        <v>19.75</v>
      </c>
      <c r="X287" s="146">
        <f t="shared" si="23"/>
        <v>19.75</v>
      </c>
    </row>
    <row r="288" spans="1:24" ht="9.75" customHeight="1" x14ac:dyDescent="0.25">
      <c r="A288" s="288">
        <v>591</v>
      </c>
      <c r="B288" s="288"/>
      <c r="D288" s="258" t="s">
        <v>64</v>
      </c>
      <c r="E288" s="289">
        <v>38291</v>
      </c>
      <c r="F288" s="289"/>
      <c r="G288" s="289"/>
      <c r="H288" s="289"/>
      <c r="I288" s="290" t="s">
        <v>205</v>
      </c>
      <c r="J288" s="290"/>
      <c r="K288" s="290"/>
      <c r="L288" s="47">
        <v>33</v>
      </c>
      <c r="M288" s="262">
        <v>180</v>
      </c>
      <c r="N288" s="47">
        <v>100</v>
      </c>
      <c r="O288" s="291">
        <v>66.31</v>
      </c>
      <c r="P288" s="291"/>
      <c r="Q288" s="291"/>
      <c r="R288" s="262">
        <v>5.45</v>
      </c>
      <c r="S288" s="262">
        <v>71.760000000000005</v>
      </c>
      <c r="U288" s="149">
        <f t="shared" si="19"/>
        <v>50336</v>
      </c>
      <c r="V288" s="146">
        <f t="shared" si="20"/>
        <v>13.166666666666666</v>
      </c>
      <c r="W288" s="150">
        <f t="shared" si="21"/>
        <v>19.833333333333336</v>
      </c>
      <c r="X288" s="146">
        <f t="shared" si="23"/>
        <v>19.833333333333336</v>
      </c>
    </row>
    <row r="289" spans="1:24" ht="9.75" customHeight="1" x14ac:dyDescent="0.25">
      <c r="A289" s="288">
        <v>597</v>
      </c>
      <c r="B289" s="288"/>
      <c r="D289" s="258" t="s">
        <v>64</v>
      </c>
      <c r="E289" s="289">
        <v>38321</v>
      </c>
      <c r="F289" s="289"/>
      <c r="G289" s="289"/>
      <c r="H289" s="289"/>
      <c r="I289" s="290" t="s">
        <v>205</v>
      </c>
      <c r="J289" s="290"/>
      <c r="K289" s="290"/>
      <c r="L289" s="47">
        <v>33</v>
      </c>
      <c r="M289" s="262">
        <v>67.5</v>
      </c>
      <c r="N289" s="47">
        <v>100</v>
      </c>
      <c r="O289" s="291">
        <v>24.77</v>
      </c>
      <c r="P289" s="291"/>
      <c r="Q289" s="291"/>
      <c r="R289" s="262">
        <v>2.0499999999999998</v>
      </c>
      <c r="S289" s="262">
        <v>26.82</v>
      </c>
      <c r="U289" s="149">
        <f t="shared" si="19"/>
        <v>50366</v>
      </c>
      <c r="V289" s="146">
        <f t="shared" si="20"/>
        <v>13.083333333333334</v>
      </c>
      <c r="W289" s="150">
        <f t="shared" si="21"/>
        <v>19.916666666666664</v>
      </c>
      <c r="X289" s="146">
        <f t="shared" si="23"/>
        <v>19.916666666666664</v>
      </c>
    </row>
    <row r="290" spans="1:24" ht="9.75" customHeight="1" x14ac:dyDescent="0.25">
      <c r="A290" s="288">
        <v>603</v>
      </c>
      <c r="B290" s="288"/>
      <c r="D290" s="258" t="s">
        <v>64</v>
      </c>
      <c r="E290" s="289">
        <v>39673</v>
      </c>
      <c r="F290" s="289"/>
      <c r="G290" s="289"/>
      <c r="H290" s="289"/>
      <c r="I290" s="290" t="s">
        <v>205</v>
      </c>
      <c r="J290" s="290"/>
      <c r="K290" s="290"/>
      <c r="L290" s="47">
        <v>33</v>
      </c>
      <c r="M290" s="262">
        <v>362.19</v>
      </c>
      <c r="N290" s="47">
        <v>100</v>
      </c>
      <c r="O290" s="291">
        <v>92.42</v>
      </c>
      <c r="P290" s="291"/>
      <c r="Q290" s="291"/>
      <c r="R290" s="262">
        <v>10.98</v>
      </c>
      <c r="S290" s="262">
        <v>103.4</v>
      </c>
      <c r="U290" s="149">
        <f t="shared" si="19"/>
        <v>51718</v>
      </c>
      <c r="V290" s="146">
        <f t="shared" si="20"/>
        <v>9.3833333333333329</v>
      </c>
      <c r="W290" s="150">
        <f t="shared" si="21"/>
        <v>23.616666666666667</v>
      </c>
      <c r="X290" s="146">
        <f t="shared" si="23"/>
        <v>23.616666666666667</v>
      </c>
    </row>
    <row r="291" spans="1:24" ht="9.75" customHeight="1" x14ac:dyDescent="0.25">
      <c r="A291" s="288">
        <v>604</v>
      </c>
      <c r="B291" s="288"/>
      <c r="D291" s="258" t="s">
        <v>64</v>
      </c>
      <c r="E291" s="289">
        <v>38352</v>
      </c>
      <c r="F291" s="289"/>
      <c r="G291" s="289"/>
      <c r="H291" s="289"/>
      <c r="I291" s="290" t="s">
        <v>205</v>
      </c>
      <c r="J291" s="290"/>
      <c r="K291" s="290"/>
      <c r="L291" s="47">
        <v>33</v>
      </c>
      <c r="M291" s="262">
        <v>120</v>
      </c>
      <c r="N291" s="47">
        <v>100</v>
      </c>
      <c r="O291" s="291">
        <v>43.68</v>
      </c>
      <c r="P291" s="291"/>
      <c r="Q291" s="291"/>
      <c r="R291" s="262">
        <v>3.64</v>
      </c>
      <c r="S291" s="262">
        <v>47.32</v>
      </c>
      <c r="U291" s="149">
        <f t="shared" si="19"/>
        <v>50397</v>
      </c>
      <c r="V291" s="146">
        <f t="shared" si="20"/>
        <v>13</v>
      </c>
      <c r="W291" s="150">
        <f t="shared" si="21"/>
        <v>20</v>
      </c>
      <c r="X291" s="146">
        <f t="shared" si="23"/>
        <v>20</v>
      </c>
    </row>
    <row r="292" spans="1:24" ht="9.75" customHeight="1" x14ac:dyDescent="0.25">
      <c r="A292" s="288">
        <v>610</v>
      </c>
      <c r="B292" s="288"/>
      <c r="D292" s="258" t="s">
        <v>64</v>
      </c>
      <c r="E292" s="289">
        <v>38383</v>
      </c>
      <c r="F292" s="289"/>
      <c r="G292" s="289"/>
      <c r="H292" s="289"/>
      <c r="I292" s="290" t="s">
        <v>205</v>
      </c>
      <c r="J292" s="290"/>
      <c r="K292" s="290"/>
      <c r="L292" s="47">
        <v>33</v>
      </c>
      <c r="M292" s="262">
        <v>262.5</v>
      </c>
      <c r="N292" s="47">
        <v>100</v>
      </c>
      <c r="O292" s="291">
        <v>94.74</v>
      </c>
      <c r="P292" s="291"/>
      <c r="Q292" s="291"/>
      <c r="R292" s="262">
        <v>7.95</v>
      </c>
      <c r="S292" s="262">
        <v>102.69</v>
      </c>
      <c r="U292" s="149">
        <f t="shared" si="19"/>
        <v>50428</v>
      </c>
      <c r="V292" s="146">
        <f t="shared" si="20"/>
        <v>12.916666666666666</v>
      </c>
      <c r="W292" s="150">
        <f t="shared" si="21"/>
        <v>20.083333333333336</v>
      </c>
      <c r="X292" s="146">
        <f t="shared" si="23"/>
        <v>20.083333333333336</v>
      </c>
    </row>
    <row r="293" spans="1:24" ht="9.75" customHeight="1" x14ac:dyDescent="0.25">
      <c r="A293" s="288">
        <v>617</v>
      </c>
      <c r="B293" s="288"/>
      <c r="D293" s="258" t="s">
        <v>64</v>
      </c>
      <c r="E293" s="289">
        <v>38442</v>
      </c>
      <c r="F293" s="289"/>
      <c r="G293" s="289"/>
      <c r="H293" s="289"/>
      <c r="I293" s="290" t="s">
        <v>205</v>
      </c>
      <c r="J293" s="290"/>
      <c r="K293" s="290"/>
      <c r="L293" s="47">
        <v>33</v>
      </c>
      <c r="M293" s="262">
        <v>75</v>
      </c>
      <c r="N293" s="47">
        <v>100</v>
      </c>
      <c r="O293" s="291">
        <v>26.67</v>
      </c>
      <c r="P293" s="291"/>
      <c r="Q293" s="291"/>
      <c r="R293" s="262">
        <v>2.27</v>
      </c>
      <c r="S293" s="262">
        <v>28.94</v>
      </c>
      <c r="U293" s="149">
        <f t="shared" si="19"/>
        <v>50487</v>
      </c>
      <c r="V293" s="146">
        <f t="shared" si="20"/>
        <v>12.75</v>
      </c>
      <c r="W293" s="150">
        <f t="shared" si="21"/>
        <v>20.25</v>
      </c>
      <c r="X293" s="146">
        <f t="shared" si="23"/>
        <v>20.25</v>
      </c>
    </row>
    <row r="294" spans="1:24" ht="9.75" customHeight="1" x14ac:dyDescent="0.25">
      <c r="A294" s="288">
        <v>621</v>
      </c>
      <c r="B294" s="288"/>
      <c r="D294" s="258" t="s">
        <v>64</v>
      </c>
      <c r="E294" s="289">
        <v>38472</v>
      </c>
      <c r="F294" s="289"/>
      <c r="G294" s="289"/>
      <c r="H294" s="289"/>
      <c r="I294" s="290" t="s">
        <v>205</v>
      </c>
      <c r="J294" s="290"/>
      <c r="K294" s="290"/>
      <c r="L294" s="47">
        <v>33</v>
      </c>
      <c r="M294" s="262">
        <v>52.5</v>
      </c>
      <c r="N294" s="47">
        <v>100</v>
      </c>
      <c r="O294" s="291">
        <v>18.55</v>
      </c>
      <c r="P294" s="291"/>
      <c r="Q294" s="291"/>
      <c r="R294" s="262">
        <v>1.59</v>
      </c>
      <c r="S294" s="262">
        <v>20.14</v>
      </c>
      <c r="U294" s="149">
        <f t="shared" ref="U294:U357" si="24">E294+(L294*365)</f>
        <v>50517</v>
      </c>
      <c r="V294" s="146">
        <f t="shared" ref="V294:V357" si="25">YEARFRAC(E294,$V$14)</f>
        <v>12.666666666666666</v>
      </c>
      <c r="W294" s="150">
        <f t="shared" ref="W294:W357" si="26">IF(V294&gt;L294,0,L294-V294)</f>
        <v>20.333333333333336</v>
      </c>
      <c r="X294" s="146">
        <f t="shared" si="23"/>
        <v>20.333333333333336</v>
      </c>
    </row>
    <row r="295" spans="1:24" ht="9.75" customHeight="1" x14ac:dyDescent="0.25">
      <c r="A295" s="288">
        <v>625</v>
      </c>
      <c r="B295" s="288"/>
      <c r="D295" s="258" t="s">
        <v>64</v>
      </c>
      <c r="E295" s="289">
        <v>38503</v>
      </c>
      <c r="F295" s="289"/>
      <c r="G295" s="289"/>
      <c r="H295" s="289"/>
      <c r="I295" s="290" t="s">
        <v>205</v>
      </c>
      <c r="J295" s="290"/>
      <c r="K295" s="290"/>
      <c r="L295" s="47">
        <v>33</v>
      </c>
      <c r="M295" s="262">
        <v>4230</v>
      </c>
      <c r="N295" s="47">
        <v>100</v>
      </c>
      <c r="O295" s="291">
        <v>1484.75</v>
      </c>
      <c r="P295" s="291"/>
      <c r="Q295" s="291"/>
      <c r="R295" s="262">
        <v>128.18</v>
      </c>
      <c r="S295" s="262">
        <v>1612.93</v>
      </c>
      <c r="U295" s="149">
        <f t="shared" si="24"/>
        <v>50548</v>
      </c>
      <c r="V295" s="146">
        <f t="shared" si="25"/>
        <v>12.583333333333334</v>
      </c>
      <c r="W295" s="150">
        <f t="shared" si="26"/>
        <v>20.416666666666664</v>
      </c>
      <c r="X295" s="146">
        <f t="shared" si="23"/>
        <v>20.416666666666664</v>
      </c>
    </row>
    <row r="296" spans="1:24" ht="9.75" customHeight="1" x14ac:dyDescent="0.25">
      <c r="A296" s="288">
        <v>628</v>
      </c>
      <c r="B296" s="288"/>
      <c r="D296" s="258" t="s">
        <v>64</v>
      </c>
      <c r="E296" s="289">
        <v>38509</v>
      </c>
      <c r="F296" s="289"/>
      <c r="G296" s="289"/>
      <c r="H296" s="289"/>
      <c r="I296" s="290" t="s">
        <v>205</v>
      </c>
      <c r="J296" s="290"/>
      <c r="K296" s="290"/>
      <c r="L296" s="47">
        <v>33</v>
      </c>
      <c r="M296" s="262">
        <v>22.26</v>
      </c>
      <c r="N296" s="47">
        <v>100</v>
      </c>
      <c r="O296" s="291">
        <v>7.76</v>
      </c>
      <c r="P296" s="291"/>
      <c r="Q296" s="291"/>
      <c r="R296" s="262">
        <v>0.67</v>
      </c>
      <c r="S296" s="262">
        <v>8.43</v>
      </c>
      <c r="U296" s="149">
        <f t="shared" si="24"/>
        <v>50554</v>
      </c>
      <c r="V296" s="146">
        <f t="shared" si="25"/>
        <v>12.569444444444445</v>
      </c>
      <c r="W296" s="150">
        <f t="shared" si="26"/>
        <v>20.430555555555557</v>
      </c>
      <c r="X296" s="146">
        <f t="shared" si="23"/>
        <v>20.430555555555557</v>
      </c>
    </row>
    <row r="297" spans="1:24" ht="9.75" customHeight="1" x14ac:dyDescent="0.25">
      <c r="A297" s="288">
        <v>629</v>
      </c>
      <c r="B297" s="288"/>
      <c r="D297" s="258" t="s">
        <v>64</v>
      </c>
      <c r="E297" s="289">
        <v>38530</v>
      </c>
      <c r="F297" s="289"/>
      <c r="G297" s="289"/>
      <c r="H297" s="289"/>
      <c r="I297" s="290" t="s">
        <v>205</v>
      </c>
      <c r="J297" s="290"/>
      <c r="K297" s="290"/>
      <c r="L297" s="47">
        <v>33</v>
      </c>
      <c r="M297" s="262">
        <v>300</v>
      </c>
      <c r="N297" s="47">
        <v>100</v>
      </c>
      <c r="O297" s="291">
        <v>104.54</v>
      </c>
      <c r="P297" s="291"/>
      <c r="Q297" s="291"/>
      <c r="R297" s="262">
        <v>9.09</v>
      </c>
      <c r="S297" s="262">
        <v>113.63</v>
      </c>
      <c r="U297" s="149">
        <f t="shared" si="24"/>
        <v>50575</v>
      </c>
      <c r="V297" s="146">
        <f t="shared" si="25"/>
        <v>12.511111111111111</v>
      </c>
      <c r="W297" s="150">
        <f t="shared" si="26"/>
        <v>20.488888888888887</v>
      </c>
      <c r="X297" s="146">
        <f t="shared" si="23"/>
        <v>20.488888888888887</v>
      </c>
    </row>
    <row r="298" spans="1:24" ht="9.75" customHeight="1" x14ac:dyDescent="0.25">
      <c r="A298" s="288">
        <v>630</v>
      </c>
      <c r="B298" s="288"/>
      <c r="D298" s="258" t="s">
        <v>64</v>
      </c>
      <c r="E298" s="289">
        <v>38533</v>
      </c>
      <c r="F298" s="289"/>
      <c r="G298" s="289"/>
      <c r="H298" s="289"/>
      <c r="I298" s="290" t="s">
        <v>205</v>
      </c>
      <c r="J298" s="290"/>
      <c r="K298" s="290"/>
      <c r="L298" s="47">
        <v>33</v>
      </c>
      <c r="M298" s="262">
        <v>2883.8</v>
      </c>
      <c r="N298" s="47">
        <v>100</v>
      </c>
      <c r="O298" s="291">
        <v>1004.98</v>
      </c>
      <c r="P298" s="291"/>
      <c r="Q298" s="291"/>
      <c r="R298" s="262">
        <v>87.39</v>
      </c>
      <c r="S298" s="262">
        <v>1092.3699999999999</v>
      </c>
      <c r="U298" s="149">
        <f t="shared" si="24"/>
        <v>50578</v>
      </c>
      <c r="V298" s="146">
        <f t="shared" si="25"/>
        <v>12.5</v>
      </c>
      <c r="W298" s="150">
        <f t="shared" si="26"/>
        <v>20.5</v>
      </c>
      <c r="X298" s="146">
        <f t="shared" si="23"/>
        <v>20.5</v>
      </c>
    </row>
    <row r="299" spans="1:24" ht="9.75" customHeight="1" x14ac:dyDescent="0.25">
      <c r="A299" s="288">
        <v>631</v>
      </c>
      <c r="B299" s="288"/>
      <c r="D299" s="258" t="s">
        <v>64</v>
      </c>
      <c r="E299" s="289">
        <v>38533</v>
      </c>
      <c r="F299" s="289"/>
      <c r="G299" s="289"/>
      <c r="H299" s="289"/>
      <c r="I299" s="290" t="s">
        <v>205</v>
      </c>
      <c r="J299" s="290"/>
      <c r="K299" s="290"/>
      <c r="L299" s="47">
        <v>33</v>
      </c>
      <c r="M299" s="262">
        <v>427.5</v>
      </c>
      <c r="N299" s="47">
        <v>100</v>
      </c>
      <c r="O299" s="291">
        <v>148.93</v>
      </c>
      <c r="P299" s="291"/>
      <c r="Q299" s="291"/>
      <c r="R299" s="262">
        <v>12.950000000000001</v>
      </c>
      <c r="S299" s="262">
        <v>161.88</v>
      </c>
      <c r="U299" s="149">
        <f t="shared" si="24"/>
        <v>50578</v>
      </c>
      <c r="V299" s="146">
        <f t="shared" si="25"/>
        <v>12.5</v>
      </c>
      <c r="W299" s="150">
        <f t="shared" si="26"/>
        <v>20.5</v>
      </c>
      <c r="X299" s="146">
        <f t="shared" si="23"/>
        <v>20.5</v>
      </c>
    </row>
    <row r="300" spans="1:24" ht="9.75" customHeight="1" x14ac:dyDescent="0.25">
      <c r="A300" s="288">
        <v>638</v>
      </c>
      <c r="B300" s="288"/>
      <c r="D300" s="258" t="s">
        <v>64</v>
      </c>
      <c r="E300" s="289">
        <v>38595</v>
      </c>
      <c r="F300" s="289"/>
      <c r="G300" s="289"/>
      <c r="H300" s="289"/>
      <c r="I300" s="290" t="s">
        <v>205</v>
      </c>
      <c r="J300" s="290"/>
      <c r="K300" s="290"/>
      <c r="L300" s="47">
        <v>33</v>
      </c>
      <c r="M300" s="262">
        <v>367.5</v>
      </c>
      <c r="N300" s="47">
        <v>100</v>
      </c>
      <c r="O300" s="291">
        <v>126.25</v>
      </c>
      <c r="P300" s="291"/>
      <c r="Q300" s="291"/>
      <c r="R300" s="262">
        <v>11.14</v>
      </c>
      <c r="S300" s="262">
        <v>137.38999999999999</v>
      </c>
      <c r="U300" s="149">
        <f t="shared" si="24"/>
        <v>50640</v>
      </c>
      <c r="V300" s="146">
        <f t="shared" si="25"/>
        <v>12.333333333333334</v>
      </c>
      <c r="W300" s="150">
        <f t="shared" si="26"/>
        <v>20.666666666666664</v>
      </c>
      <c r="X300" s="146">
        <f t="shared" si="23"/>
        <v>20.666666666666664</v>
      </c>
    </row>
    <row r="301" spans="1:24" ht="9.75" customHeight="1" x14ac:dyDescent="0.25">
      <c r="A301" s="288">
        <v>643</v>
      </c>
      <c r="B301" s="288"/>
      <c r="D301" s="258" t="s">
        <v>64</v>
      </c>
      <c r="E301" s="289">
        <v>38625</v>
      </c>
      <c r="F301" s="289"/>
      <c r="G301" s="289"/>
      <c r="H301" s="289"/>
      <c r="I301" s="290" t="s">
        <v>205</v>
      </c>
      <c r="J301" s="290"/>
      <c r="K301" s="290"/>
      <c r="L301" s="47">
        <v>33</v>
      </c>
      <c r="M301" s="262">
        <v>390</v>
      </c>
      <c r="N301" s="47">
        <v>100</v>
      </c>
      <c r="O301" s="291">
        <v>132.97</v>
      </c>
      <c r="P301" s="291"/>
      <c r="Q301" s="291"/>
      <c r="R301" s="262">
        <v>11.82</v>
      </c>
      <c r="S301" s="262">
        <v>144.79</v>
      </c>
      <c r="U301" s="149">
        <f t="shared" si="24"/>
        <v>50670</v>
      </c>
      <c r="V301" s="146">
        <f t="shared" si="25"/>
        <v>12.25</v>
      </c>
      <c r="W301" s="150">
        <f t="shared" si="26"/>
        <v>20.75</v>
      </c>
      <c r="X301" s="146">
        <f t="shared" si="23"/>
        <v>20.75</v>
      </c>
    </row>
    <row r="302" spans="1:24" ht="9.75" customHeight="1" x14ac:dyDescent="0.25">
      <c r="A302" s="288">
        <v>646</v>
      </c>
      <c r="B302" s="288"/>
      <c r="D302" s="258" t="s">
        <v>64</v>
      </c>
      <c r="E302" s="289">
        <v>39691</v>
      </c>
      <c r="F302" s="289"/>
      <c r="G302" s="289"/>
      <c r="H302" s="289"/>
      <c r="I302" s="290" t="s">
        <v>205</v>
      </c>
      <c r="J302" s="290"/>
      <c r="K302" s="290"/>
      <c r="L302" s="47">
        <v>33</v>
      </c>
      <c r="M302" s="262">
        <v>1356.3700000000001</v>
      </c>
      <c r="N302" s="47">
        <v>100</v>
      </c>
      <c r="O302" s="291">
        <v>342.5</v>
      </c>
      <c r="P302" s="291"/>
      <c r="Q302" s="291"/>
      <c r="R302" s="262">
        <v>41.1</v>
      </c>
      <c r="S302" s="262">
        <v>383.6</v>
      </c>
      <c r="U302" s="149">
        <f t="shared" si="24"/>
        <v>51736</v>
      </c>
      <c r="V302" s="146">
        <f t="shared" si="25"/>
        <v>9.3333333333333339</v>
      </c>
      <c r="W302" s="150">
        <f t="shared" si="26"/>
        <v>23.666666666666664</v>
      </c>
      <c r="X302" s="146">
        <f t="shared" si="23"/>
        <v>23.666666666666664</v>
      </c>
    </row>
    <row r="303" spans="1:24" ht="9.75" customHeight="1" x14ac:dyDescent="0.25">
      <c r="A303" s="288">
        <v>647</v>
      </c>
      <c r="B303" s="288"/>
      <c r="D303" s="258" t="s">
        <v>64</v>
      </c>
      <c r="E303" s="289">
        <v>38656</v>
      </c>
      <c r="F303" s="289"/>
      <c r="G303" s="289"/>
      <c r="H303" s="289"/>
      <c r="I303" s="290" t="s">
        <v>205</v>
      </c>
      <c r="J303" s="290"/>
      <c r="K303" s="290"/>
      <c r="L303" s="47">
        <v>33</v>
      </c>
      <c r="M303" s="262">
        <v>116.93</v>
      </c>
      <c r="N303" s="47">
        <v>100</v>
      </c>
      <c r="O303" s="291">
        <v>39.53</v>
      </c>
      <c r="P303" s="291"/>
      <c r="Q303" s="291"/>
      <c r="R303" s="262">
        <v>3.54</v>
      </c>
      <c r="S303" s="262">
        <v>43.07</v>
      </c>
      <c r="U303" s="149">
        <f t="shared" si="24"/>
        <v>50701</v>
      </c>
      <c r="V303" s="146">
        <f t="shared" si="25"/>
        <v>12.166666666666666</v>
      </c>
      <c r="W303" s="150">
        <f t="shared" si="26"/>
        <v>20.833333333333336</v>
      </c>
      <c r="X303" s="146">
        <f t="shared" si="23"/>
        <v>20.833333333333336</v>
      </c>
    </row>
    <row r="304" spans="1:24" ht="9.75" customHeight="1" x14ac:dyDescent="0.25">
      <c r="A304" s="288">
        <v>648</v>
      </c>
      <c r="B304" s="288"/>
      <c r="D304" s="258" t="s">
        <v>64</v>
      </c>
      <c r="E304" s="289">
        <v>38656</v>
      </c>
      <c r="F304" s="289"/>
      <c r="G304" s="289"/>
      <c r="H304" s="289"/>
      <c r="I304" s="290" t="s">
        <v>205</v>
      </c>
      <c r="J304" s="290"/>
      <c r="K304" s="290"/>
      <c r="L304" s="47">
        <v>33</v>
      </c>
      <c r="M304" s="262">
        <v>3277.5</v>
      </c>
      <c r="N304" s="47">
        <v>100</v>
      </c>
      <c r="O304" s="291">
        <v>1109.07</v>
      </c>
      <c r="P304" s="291"/>
      <c r="Q304" s="291"/>
      <c r="R304" s="262">
        <v>99.320000000000007</v>
      </c>
      <c r="S304" s="262">
        <v>1208.3900000000001</v>
      </c>
      <c r="U304" s="149">
        <f t="shared" si="24"/>
        <v>50701</v>
      </c>
      <c r="V304" s="146">
        <f t="shared" si="25"/>
        <v>12.166666666666666</v>
      </c>
      <c r="W304" s="150">
        <f t="shared" si="26"/>
        <v>20.833333333333336</v>
      </c>
      <c r="X304" s="146">
        <f t="shared" si="23"/>
        <v>20.833333333333336</v>
      </c>
    </row>
    <row r="305" spans="1:24" ht="9.75" customHeight="1" x14ac:dyDescent="0.25">
      <c r="A305" s="288">
        <v>651</v>
      </c>
      <c r="B305" s="288"/>
      <c r="D305" s="258" t="s">
        <v>64</v>
      </c>
      <c r="E305" s="289">
        <v>38686</v>
      </c>
      <c r="F305" s="289"/>
      <c r="G305" s="289"/>
      <c r="H305" s="289"/>
      <c r="I305" s="290" t="s">
        <v>205</v>
      </c>
      <c r="J305" s="290"/>
      <c r="K305" s="290"/>
      <c r="L305" s="47">
        <v>33</v>
      </c>
      <c r="M305" s="262">
        <v>1367.65</v>
      </c>
      <c r="N305" s="47">
        <v>100</v>
      </c>
      <c r="O305" s="291">
        <v>459.29</v>
      </c>
      <c r="P305" s="291"/>
      <c r="Q305" s="291"/>
      <c r="R305" s="262">
        <v>41.44</v>
      </c>
      <c r="S305" s="262">
        <v>500.73</v>
      </c>
      <c r="U305" s="149">
        <f t="shared" si="24"/>
        <v>50731</v>
      </c>
      <c r="V305" s="146">
        <f t="shared" si="25"/>
        <v>12.083333333333334</v>
      </c>
      <c r="W305" s="150">
        <f t="shared" si="26"/>
        <v>20.916666666666664</v>
      </c>
      <c r="X305" s="146">
        <f t="shared" si="23"/>
        <v>20.916666666666664</v>
      </c>
    </row>
    <row r="306" spans="1:24" ht="9.75" customHeight="1" x14ac:dyDescent="0.25">
      <c r="A306" s="288">
        <v>652</v>
      </c>
      <c r="B306" s="288"/>
      <c r="D306" s="258" t="s">
        <v>64</v>
      </c>
      <c r="E306" s="289">
        <v>38686</v>
      </c>
      <c r="F306" s="289"/>
      <c r="G306" s="289"/>
      <c r="H306" s="289"/>
      <c r="I306" s="290" t="s">
        <v>205</v>
      </c>
      <c r="J306" s="290"/>
      <c r="K306" s="290"/>
      <c r="L306" s="47">
        <v>33</v>
      </c>
      <c r="M306" s="262">
        <v>187.5</v>
      </c>
      <c r="N306" s="47">
        <v>100</v>
      </c>
      <c r="O306" s="291">
        <v>62.95</v>
      </c>
      <c r="P306" s="291"/>
      <c r="Q306" s="291"/>
      <c r="R306" s="262">
        <v>5.68</v>
      </c>
      <c r="S306" s="262">
        <v>68.63</v>
      </c>
      <c r="U306" s="149">
        <f t="shared" si="24"/>
        <v>50731</v>
      </c>
      <c r="V306" s="146">
        <f t="shared" si="25"/>
        <v>12.083333333333334</v>
      </c>
      <c r="W306" s="150">
        <f t="shared" si="26"/>
        <v>20.916666666666664</v>
      </c>
      <c r="X306" s="146">
        <f t="shared" ref="X306:X337" si="27">IF(W306=0,0,W306)</f>
        <v>20.916666666666664</v>
      </c>
    </row>
    <row r="307" spans="1:24" ht="9.75" customHeight="1" x14ac:dyDescent="0.25">
      <c r="A307" s="288">
        <v>656</v>
      </c>
      <c r="B307" s="288"/>
      <c r="D307" s="258" t="s">
        <v>64</v>
      </c>
      <c r="E307" s="289">
        <v>38717</v>
      </c>
      <c r="F307" s="289"/>
      <c r="G307" s="289"/>
      <c r="H307" s="289"/>
      <c r="I307" s="290" t="s">
        <v>205</v>
      </c>
      <c r="J307" s="290"/>
      <c r="K307" s="290"/>
      <c r="L307" s="47">
        <v>33</v>
      </c>
      <c r="M307" s="262">
        <v>594.25</v>
      </c>
      <c r="N307" s="47">
        <v>100</v>
      </c>
      <c r="O307" s="291">
        <v>198.11</v>
      </c>
      <c r="P307" s="291"/>
      <c r="Q307" s="291"/>
      <c r="R307" s="262">
        <v>18.010000000000002</v>
      </c>
      <c r="S307" s="262">
        <v>216.12</v>
      </c>
      <c r="U307" s="149">
        <f t="shared" si="24"/>
        <v>50762</v>
      </c>
      <c r="V307" s="146">
        <f t="shared" si="25"/>
        <v>12</v>
      </c>
      <c r="W307" s="150">
        <f t="shared" si="26"/>
        <v>21</v>
      </c>
      <c r="X307" s="146">
        <f t="shared" si="27"/>
        <v>21</v>
      </c>
    </row>
    <row r="308" spans="1:24" ht="9.75" customHeight="1" x14ac:dyDescent="0.25">
      <c r="A308" s="288">
        <v>657</v>
      </c>
      <c r="B308" s="288"/>
      <c r="D308" s="258" t="s">
        <v>64</v>
      </c>
      <c r="E308" s="289">
        <v>38717</v>
      </c>
      <c r="F308" s="289"/>
      <c r="G308" s="289"/>
      <c r="H308" s="289"/>
      <c r="I308" s="290" t="s">
        <v>205</v>
      </c>
      <c r="J308" s="290"/>
      <c r="K308" s="290"/>
      <c r="L308" s="47">
        <v>33</v>
      </c>
      <c r="M308" s="262">
        <v>120</v>
      </c>
      <c r="N308" s="47">
        <v>100</v>
      </c>
      <c r="O308" s="291">
        <v>40.04</v>
      </c>
      <c r="P308" s="291"/>
      <c r="Q308" s="291"/>
      <c r="R308" s="262">
        <v>3.64</v>
      </c>
      <c r="S308" s="262">
        <v>43.68</v>
      </c>
      <c r="U308" s="149">
        <f t="shared" si="24"/>
        <v>50762</v>
      </c>
      <c r="V308" s="146">
        <f t="shared" si="25"/>
        <v>12</v>
      </c>
      <c r="W308" s="150">
        <f t="shared" si="26"/>
        <v>21</v>
      </c>
      <c r="X308" s="146">
        <f t="shared" si="27"/>
        <v>21</v>
      </c>
    </row>
    <row r="309" spans="1:24" ht="9.75" customHeight="1" x14ac:dyDescent="0.25">
      <c r="A309" s="288">
        <v>661</v>
      </c>
      <c r="B309" s="288"/>
      <c r="D309" s="258" t="s">
        <v>64</v>
      </c>
      <c r="E309" s="289">
        <v>38748</v>
      </c>
      <c r="F309" s="289"/>
      <c r="G309" s="289"/>
      <c r="H309" s="289"/>
      <c r="I309" s="290" t="s">
        <v>205</v>
      </c>
      <c r="J309" s="290"/>
      <c r="K309" s="290"/>
      <c r="L309" s="47">
        <v>33</v>
      </c>
      <c r="M309" s="262">
        <v>30</v>
      </c>
      <c r="N309" s="47">
        <v>100</v>
      </c>
      <c r="O309" s="291">
        <v>9.93</v>
      </c>
      <c r="P309" s="291"/>
      <c r="Q309" s="291"/>
      <c r="R309" s="262">
        <v>0.91</v>
      </c>
      <c r="S309" s="262">
        <v>10.84</v>
      </c>
      <c r="U309" s="149">
        <f t="shared" si="24"/>
        <v>50793</v>
      </c>
      <c r="V309" s="146">
        <f t="shared" si="25"/>
        <v>11.916666666666666</v>
      </c>
      <c r="W309" s="150">
        <f t="shared" si="26"/>
        <v>21.083333333333336</v>
      </c>
      <c r="X309" s="146">
        <f t="shared" si="27"/>
        <v>21.083333333333336</v>
      </c>
    </row>
    <row r="310" spans="1:24" ht="9.75" customHeight="1" x14ac:dyDescent="0.25">
      <c r="A310" s="288">
        <v>664</v>
      </c>
      <c r="B310" s="288"/>
      <c r="D310" s="258" t="s">
        <v>64</v>
      </c>
      <c r="E310" s="289">
        <v>38776</v>
      </c>
      <c r="F310" s="289"/>
      <c r="G310" s="289"/>
      <c r="H310" s="289"/>
      <c r="I310" s="290" t="s">
        <v>205</v>
      </c>
      <c r="J310" s="290"/>
      <c r="K310" s="290"/>
      <c r="L310" s="47">
        <v>33</v>
      </c>
      <c r="M310" s="262">
        <v>135</v>
      </c>
      <c r="N310" s="47">
        <v>100</v>
      </c>
      <c r="O310" s="291">
        <v>44.31</v>
      </c>
      <c r="P310" s="291"/>
      <c r="Q310" s="291"/>
      <c r="R310" s="262">
        <v>4.09</v>
      </c>
      <c r="S310" s="262">
        <v>48.4</v>
      </c>
      <c r="U310" s="149">
        <f t="shared" si="24"/>
        <v>50821</v>
      </c>
      <c r="V310" s="146">
        <f t="shared" si="25"/>
        <v>11.83611111111111</v>
      </c>
      <c r="W310" s="150">
        <f t="shared" si="26"/>
        <v>21.163888888888891</v>
      </c>
      <c r="X310" s="146">
        <f t="shared" si="27"/>
        <v>21.163888888888891</v>
      </c>
    </row>
    <row r="311" spans="1:24" ht="9.75" customHeight="1" x14ac:dyDescent="0.25">
      <c r="A311" s="288">
        <v>667</v>
      </c>
      <c r="B311" s="288"/>
      <c r="D311" s="258" t="s">
        <v>64</v>
      </c>
      <c r="E311" s="289">
        <v>38807</v>
      </c>
      <c r="F311" s="289"/>
      <c r="G311" s="289"/>
      <c r="H311" s="289"/>
      <c r="I311" s="290" t="s">
        <v>205</v>
      </c>
      <c r="J311" s="290"/>
      <c r="K311" s="290"/>
      <c r="L311" s="47">
        <v>33</v>
      </c>
      <c r="M311" s="262">
        <v>30</v>
      </c>
      <c r="N311" s="47">
        <v>100</v>
      </c>
      <c r="O311" s="291">
        <v>9.7799999999999994</v>
      </c>
      <c r="P311" s="291"/>
      <c r="Q311" s="291"/>
      <c r="R311" s="262">
        <v>0.91</v>
      </c>
      <c r="S311" s="262">
        <v>10.69</v>
      </c>
      <c r="U311" s="149">
        <f t="shared" si="24"/>
        <v>50852</v>
      </c>
      <c r="V311" s="146">
        <f t="shared" si="25"/>
        <v>11.75</v>
      </c>
      <c r="W311" s="150">
        <f t="shared" si="26"/>
        <v>21.25</v>
      </c>
      <c r="X311" s="146">
        <f t="shared" si="27"/>
        <v>21.25</v>
      </c>
    </row>
    <row r="312" spans="1:24" ht="9.75" customHeight="1" x14ac:dyDescent="0.25">
      <c r="A312" s="288">
        <v>670</v>
      </c>
      <c r="B312" s="288"/>
      <c r="D312" s="258" t="s">
        <v>64</v>
      </c>
      <c r="E312" s="289">
        <v>38825</v>
      </c>
      <c r="F312" s="289"/>
      <c r="G312" s="289"/>
      <c r="H312" s="289"/>
      <c r="I312" s="290" t="s">
        <v>205</v>
      </c>
      <c r="J312" s="290"/>
      <c r="K312" s="290"/>
      <c r="L312" s="47">
        <v>33</v>
      </c>
      <c r="M312" s="262">
        <v>50</v>
      </c>
      <c r="N312" s="47">
        <v>100</v>
      </c>
      <c r="O312" s="291">
        <v>16.21</v>
      </c>
      <c r="P312" s="291"/>
      <c r="Q312" s="291"/>
      <c r="R312" s="262">
        <v>1.52</v>
      </c>
      <c r="S312" s="262">
        <v>17.73</v>
      </c>
      <c r="U312" s="149">
        <f t="shared" si="24"/>
        <v>50870</v>
      </c>
      <c r="V312" s="146">
        <f t="shared" si="25"/>
        <v>11.702777777777778</v>
      </c>
      <c r="W312" s="150">
        <f t="shared" si="26"/>
        <v>21.297222222222224</v>
      </c>
      <c r="X312" s="146">
        <f t="shared" si="27"/>
        <v>21.297222222222224</v>
      </c>
    </row>
    <row r="313" spans="1:24" ht="9.75" customHeight="1" x14ac:dyDescent="0.25">
      <c r="A313" s="288">
        <v>671</v>
      </c>
      <c r="B313" s="288"/>
      <c r="D313" s="258" t="s">
        <v>64</v>
      </c>
      <c r="E313" s="289">
        <v>38837</v>
      </c>
      <c r="F313" s="289"/>
      <c r="G313" s="289"/>
      <c r="H313" s="289"/>
      <c r="I313" s="290" t="s">
        <v>205</v>
      </c>
      <c r="J313" s="290"/>
      <c r="K313" s="290"/>
      <c r="L313" s="47">
        <v>33</v>
      </c>
      <c r="M313" s="262">
        <v>165</v>
      </c>
      <c r="N313" s="47">
        <v>100</v>
      </c>
      <c r="O313" s="291">
        <v>53.33</v>
      </c>
      <c r="P313" s="291"/>
      <c r="Q313" s="291"/>
      <c r="R313" s="262">
        <v>5</v>
      </c>
      <c r="S313" s="262">
        <v>58.33</v>
      </c>
      <c r="U313" s="149">
        <f t="shared" si="24"/>
        <v>50882</v>
      </c>
      <c r="V313" s="146">
        <f t="shared" si="25"/>
        <v>11.666666666666666</v>
      </c>
      <c r="W313" s="150">
        <f t="shared" si="26"/>
        <v>21.333333333333336</v>
      </c>
      <c r="X313" s="146">
        <f t="shared" si="27"/>
        <v>21.333333333333336</v>
      </c>
    </row>
    <row r="314" spans="1:24" ht="9.75" customHeight="1" x14ac:dyDescent="0.25">
      <c r="A314" s="288">
        <v>674</v>
      </c>
      <c r="B314" s="288"/>
      <c r="D314" s="258" t="s">
        <v>64</v>
      </c>
      <c r="E314" s="289">
        <v>38868</v>
      </c>
      <c r="F314" s="289"/>
      <c r="G314" s="289"/>
      <c r="H314" s="289"/>
      <c r="I314" s="290" t="s">
        <v>205</v>
      </c>
      <c r="J314" s="290"/>
      <c r="K314" s="290"/>
      <c r="L314" s="47">
        <v>33</v>
      </c>
      <c r="M314" s="262">
        <v>105</v>
      </c>
      <c r="N314" s="47">
        <v>100</v>
      </c>
      <c r="O314" s="291">
        <v>33.659999999999997</v>
      </c>
      <c r="P314" s="291"/>
      <c r="Q314" s="291"/>
      <c r="R314" s="262">
        <v>3.18</v>
      </c>
      <c r="S314" s="262">
        <v>36.840000000000003</v>
      </c>
      <c r="U314" s="149">
        <f t="shared" si="24"/>
        <v>50913</v>
      </c>
      <c r="V314" s="146">
        <f t="shared" si="25"/>
        <v>11.583333333333334</v>
      </c>
      <c r="W314" s="150">
        <f t="shared" si="26"/>
        <v>21.416666666666664</v>
      </c>
      <c r="X314" s="146">
        <f t="shared" si="27"/>
        <v>21.416666666666664</v>
      </c>
    </row>
    <row r="315" spans="1:24" ht="9.75" customHeight="1" x14ac:dyDescent="0.25">
      <c r="A315" s="288">
        <v>676</v>
      </c>
      <c r="B315" s="288"/>
      <c r="D315" s="258" t="s">
        <v>64</v>
      </c>
      <c r="E315" s="289">
        <v>38898</v>
      </c>
      <c r="F315" s="289"/>
      <c r="G315" s="289"/>
      <c r="H315" s="289"/>
      <c r="I315" s="290" t="s">
        <v>205</v>
      </c>
      <c r="J315" s="290"/>
      <c r="K315" s="290"/>
      <c r="L315" s="47">
        <v>33</v>
      </c>
      <c r="M315" s="262">
        <v>121.51</v>
      </c>
      <c r="N315" s="47">
        <v>100</v>
      </c>
      <c r="O315" s="291">
        <v>38.64</v>
      </c>
      <c r="P315" s="291"/>
      <c r="Q315" s="291"/>
      <c r="R315" s="262">
        <v>3.68</v>
      </c>
      <c r="S315" s="262">
        <v>42.32</v>
      </c>
      <c r="U315" s="149">
        <f t="shared" si="24"/>
        <v>50943</v>
      </c>
      <c r="V315" s="146">
        <f t="shared" si="25"/>
        <v>11.5</v>
      </c>
      <c r="W315" s="150">
        <f t="shared" si="26"/>
        <v>21.5</v>
      </c>
      <c r="X315" s="146">
        <f t="shared" si="27"/>
        <v>21.5</v>
      </c>
    </row>
    <row r="316" spans="1:24" ht="9.75" customHeight="1" x14ac:dyDescent="0.25">
      <c r="A316" s="288">
        <v>677</v>
      </c>
      <c r="B316" s="288"/>
      <c r="D316" s="258" t="s">
        <v>64</v>
      </c>
      <c r="E316" s="289">
        <v>38898</v>
      </c>
      <c r="F316" s="289"/>
      <c r="G316" s="289"/>
      <c r="H316" s="289"/>
      <c r="I316" s="290" t="s">
        <v>205</v>
      </c>
      <c r="J316" s="290"/>
      <c r="K316" s="290"/>
      <c r="L316" s="47">
        <v>33</v>
      </c>
      <c r="M316" s="262">
        <v>862.5</v>
      </c>
      <c r="N316" s="47">
        <v>100</v>
      </c>
      <c r="O316" s="291">
        <v>274.47000000000003</v>
      </c>
      <c r="P316" s="291"/>
      <c r="Q316" s="291"/>
      <c r="R316" s="262">
        <v>26.14</v>
      </c>
      <c r="S316" s="262">
        <v>300.61</v>
      </c>
      <c r="U316" s="149">
        <f t="shared" si="24"/>
        <v>50943</v>
      </c>
      <c r="V316" s="146">
        <f t="shared" si="25"/>
        <v>11.5</v>
      </c>
      <c r="W316" s="150">
        <f t="shared" si="26"/>
        <v>21.5</v>
      </c>
      <c r="X316" s="146">
        <f t="shared" si="27"/>
        <v>21.5</v>
      </c>
    </row>
    <row r="317" spans="1:24" ht="9.75" customHeight="1" x14ac:dyDescent="0.25">
      <c r="A317" s="288">
        <v>681</v>
      </c>
      <c r="B317" s="288"/>
      <c r="D317" s="258" t="s">
        <v>64</v>
      </c>
      <c r="E317" s="289">
        <v>38929</v>
      </c>
      <c r="F317" s="289"/>
      <c r="G317" s="289"/>
      <c r="H317" s="289"/>
      <c r="I317" s="290" t="s">
        <v>205</v>
      </c>
      <c r="J317" s="290"/>
      <c r="K317" s="290"/>
      <c r="L317" s="47">
        <v>33</v>
      </c>
      <c r="M317" s="262">
        <v>240</v>
      </c>
      <c r="N317" s="47">
        <v>100</v>
      </c>
      <c r="O317" s="291">
        <v>75.73</v>
      </c>
      <c r="P317" s="291"/>
      <c r="Q317" s="291"/>
      <c r="R317" s="262">
        <v>7.2700000000000005</v>
      </c>
      <c r="S317" s="262">
        <v>83</v>
      </c>
      <c r="U317" s="149">
        <f t="shared" si="24"/>
        <v>50974</v>
      </c>
      <c r="V317" s="146">
        <f t="shared" si="25"/>
        <v>11.416666666666666</v>
      </c>
      <c r="W317" s="150">
        <f t="shared" si="26"/>
        <v>21.583333333333336</v>
      </c>
      <c r="X317" s="146">
        <f t="shared" si="27"/>
        <v>21.583333333333336</v>
      </c>
    </row>
    <row r="318" spans="1:24" ht="9.75" customHeight="1" x14ac:dyDescent="0.25">
      <c r="A318" s="288">
        <v>686</v>
      </c>
      <c r="B318" s="288"/>
      <c r="D318" s="258" t="s">
        <v>64</v>
      </c>
      <c r="E318" s="289">
        <v>38939</v>
      </c>
      <c r="F318" s="289"/>
      <c r="G318" s="289"/>
      <c r="H318" s="289"/>
      <c r="I318" s="290" t="s">
        <v>205</v>
      </c>
      <c r="J318" s="290"/>
      <c r="K318" s="290"/>
      <c r="L318" s="47">
        <v>33</v>
      </c>
      <c r="M318" s="262">
        <v>55</v>
      </c>
      <c r="N318" s="47">
        <v>100</v>
      </c>
      <c r="O318" s="291">
        <v>17.399999999999999</v>
      </c>
      <c r="P318" s="291"/>
      <c r="Q318" s="291"/>
      <c r="R318" s="262">
        <v>1.67</v>
      </c>
      <c r="S318" s="262">
        <v>19.07</v>
      </c>
      <c r="U318" s="149">
        <f t="shared" si="24"/>
        <v>50984</v>
      </c>
      <c r="V318" s="146">
        <f t="shared" si="25"/>
        <v>11.391666666666667</v>
      </c>
      <c r="W318" s="150">
        <f t="shared" si="26"/>
        <v>21.608333333333334</v>
      </c>
      <c r="X318" s="146">
        <f t="shared" si="27"/>
        <v>21.608333333333334</v>
      </c>
    </row>
    <row r="319" spans="1:24" ht="9.75" customHeight="1" x14ac:dyDescent="0.25">
      <c r="A319" s="288">
        <v>687</v>
      </c>
      <c r="B319" s="288"/>
      <c r="D319" s="258" t="s">
        <v>64</v>
      </c>
      <c r="E319" s="289">
        <v>38960</v>
      </c>
      <c r="F319" s="289"/>
      <c r="G319" s="289"/>
      <c r="H319" s="289"/>
      <c r="I319" s="290" t="s">
        <v>205</v>
      </c>
      <c r="J319" s="290"/>
      <c r="K319" s="290"/>
      <c r="L319" s="47">
        <v>33</v>
      </c>
      <c r="M319" s="262">
        <v>150</v>
      </c>
      <c r="N319" s="47">
        <v>100</v>
      </c>
      <c r="O319" s="291">
        <v>47.02</v>
      </c>
      <c r="P319" s="291"/>
      <c r="Q319" s="291"/>
      <c r="R319" s="262">
        <v>4.55</v>
      </c>
      <c r="S319" s="262">
        <v>51.57</v>
      </c>
      <c r="U319" s="149">
        <f t="shared" si="24"/>
        <v>51005</v>
      </c>
      <c r="V319" s="146">
        <f t="shared" si="25"/>
        <v>11.333333333333334</v>
      </c>
      <c r="W319" s="150">
        <f t="shared" si="26"/>
        <v>21.666666666666664</v>
      </c>
      <c r="X319" s="146">
        <f t="shared" si="27"/>
        <v>21.666666666666664</v>
      </c>
    </row>
    <row r="320" spans="1:24" ht="9.75" customHeight="1" x14ac:dyDescent="0.25">
      <c r="A320" s="288">
        <v>690</v>
      </c>
      <c r="B320" s="288"/>
      <c r="D320" s="258" t="s">
        <v>64</v>
      </c>
      <c r="E320" s="289">
        <v>38990</v>
      </c>
      <c r="F320" s="289"/>
      <c r="G320" s="289"/>
      <c r="H320" s="289"/>
      <c r="I320" s="290" t="s">
        <v>205</v>
      </c>
      <c r="J320" s="290"/>
      <c r="K320" s="290"/>
      <c r="L320" s="47">
        <v>33</v>
      </c>
      <c r="M320" s="262">
        <v>900.34</v>
      </c>
      <c r="N320" s="47">
        <v>100</v>
      </c>
      <c r="O320" s="291">
        <v>279.62</v>
      </c>
      <c r="P320" s="291"/>
      <c r="Q320" s="291"/>
      <c r="R320" s="262">
        <v>27.28</v>
      </c>
      <c r="S320" s="262">
        <v>306.89999999999998</v>
      </c>
      <c r="U320" s="149">
        <f t="shared" si="24"/>
        <v>51035</v>
      </c>
      <c r="V320" s="146">
        <f t="shared" si="25"/>
        <v>11.25</v>
      </c>
      <c r="W320" s="150">
        <f t="shared" si="26"/>
        <v>21.75</v>
      </c>
      <c r="X320" s="146">
        <f t="shared" si="27"/>
        <v>21.75</v>
      </c>
    </row>
    <row r="321" spans="1:24" ht="9.75" customHeight="1" x14ac:dyDescent="0.25">
      <c r="A321" s="288">
        <v>693</v>
      </c>
      <c r="B321" s="288"/>
      <c r="D321" s="258" t="s">
        <v>64</v>
      </c>
      <c r="E321" s="289">
        <v>39009</v>
      </c>
      <c r="F321" s="289"/>
      <c r="G321" s="289"/>
      <c r="H321" s="289"/>
      <c r="I321" s="290" t="s">
        <v>205</v>
      </c>
      <c r="J321" s="290"/>
      <c r="K321" s="290"/>
      <c r="L321" s="47">
        <v>33</v>
      </c>
      <c r="M321" s="262">
        <v>60.21</v>
      </c>
      <c r="N321" s="47">
        <v>100</v>
      </c>
      <c r="O321" s="291">
        <v>18.5</v>
      </c>
      <c r="P321" s="291"/>
      <c r="Q321" s="291"/>
      <c r="R321" s="262">
        <v>1.82</v>
      </c>
      <c r="S321" s="262">
        <v>20.32</v>
      </c>
      <c r="U321" s="149">
        <f t="shared" si="24"/>
        <v>51054</v>
      </c>
      <c r="V321" s="146">
        <f t="shared" si="25"/>
        <v>11.2</v>
      </c>
      <c r="W321" s="150">
        <f t="shared" si="26"/>
        <v>21.8</v>
      </c>
      <c r="X321" s="146">
        <f t="shared" si="27"/>
        <v>21.8</v>
      </c>
    </row>
    <row r="322" spans="1:24" ht="9.75" customHeight="1" x14ac:dyDescent="0.25">
      <c r="A322" s="288">
        <v>694</v>
      </c>
      <c r="B322" s="288"/>
      <c r="D322" s="258" t="s">
        <v>64</v>
      </c>
      <c r="E322" s="289">
        <v>39021</v>
      </c>
      <c r="F322" s="289"/>
      <c r="G322" s="289"/>
      <c r="H322" s="289"/>
      <c r="I322" s="290" t="s">
        <v>205</v>
      </c>
      <c r="J322" s="290"/>
      <c r="K322" s="290"/>
      <c r="L322" s="47">
        <v>33</v>
      </c>
      <c r="M322" s="262">
        <v>522.71</v>
      </c>
      <c r="N322" s="47">
        <v>100</v>
      </c>
      <c r="O322" s="291">
        <v>161.04</v>
      </c>
      <c r="P322" s="291"/>
      <c r="Q322" s="291"/>
      <c r="R322" s="262">
        <v>15.84</v>
      </c>
      <c r="S322" s="262">
        <v>176.88</v>
      </c>
      <c r="U322" s="149">
        <f t="shared" si="24"/>
        <v>51066</v>
      </c>
      <c r="V322" s="146">
        <f t="shared" si="25"/>
        <v>11.166666666666666</v>
      </c>
      <c r="W322" s="150">
        <f t="shared" si="26"/>
        <v>21.833333333333336</v>
      </c>
      <c r="X322" s="146">
        <f t="shared" si="27"/>
        <v>21.833333333333336</v>
      </c>
    </row>
    <row r="323" spans="1:24" ht="9.75" customHeight="1" x14ac:dyDescent="0.25">
      <c r="A323" s="288">
        <v>713</v>
      </c>
      <c r="B323" s="288"/>
      <c r="D323" s="258" t="s">
        <v>287</v>
      </c>
      <c r="E323" s="289">
        <v>39387</v>
      </c>
      <c r="F323" s="289"/>
      <c r="G323" s="289"/>
      <c r="H323" s="289"/>
      <c r="I323" s="290" t="s">
        <v>205</v>
      </c>
      <c r="J323" s="290"/>
      <c r="K323" s="290"/>
      <c r="L323" s="47">
        <v>33</v>
      </c>
      <c r="M323" s="262">
        <v>125</v>
      </c>
      <c r="N323" s="47">
        <v>100</v>
      </c>
      <c r="O323" s="291">
        <v>34.74</v>
      </c>
      <c r="P323" s="291"/>
      <c r="Q323" s="291"/>
      <c r="R323" s="262">
        <v>3.79</v>
      </c>
      <c r="S323" s="262">
        <v>38.53</v>
      </c>
      <c r="U323" s="149">
        <f t="shared" si="24"/>
        <v>51432</v>
      </c>
      <c r="V323" s="146">
        <f t="shared" si="25"/>
        <v>10.166666666666666</v>
      </c>
      <c r="W323" s="150">
        <f t="shared" si="26"/>
        <v>22.833333333333336</v>
      </c>
      <c r="X323" s="146">
        <f t="shared" si="27"/>
        <v>22.833333333333336</v>
      </c>
    </row>
    <row r="324" spans="1:24" ht="9.75" customHeight="1" x14ac:dyDescent="0.25">
      <c r="A324" s="288">
        <v>714</v>
      </c>
      <c r="B324" s="288"/>
      <c r="D324" s="258" t="s">
        <v>288</v>
      </c>
      <c r="E324" s="289">
        <v>39113</v>
      </c>
      <c r="F324" s="289"/>
      <c r="G324" s="289"/>
      <c r="H324" s="289"/>
      <c r="I324" s="290" t="s">
        <v>205</v>
      </c>
      <c r="J324" s="290"/>
      <c r="K324" s="290"/>
      <c r="L324" s="47">
        <v>33</v>
      </c>
      <c r="M324" s="262">
        <v>22.5</v>
      </c>
      <c r="N324" s="47">
        <v>100</v>
      </c>
      <c r="O324" s="291">
        <v>6.74</v>
      </c>
      <c r="P324" s="291"/>
      <c r="Q324" s="291"/>
      <c r="R324" s="262">
        <v>0.68</v>
      </c>
      <c r="S324" s="262">
        <v>7.42</v>
      </c>
      <c r="U324" s="149">
        <f t="shared" si="24"/>
        <v>51158</v>
      </c>
      <c r="V324" s="146">
        <f t="shared" si="25"/>
        <v>10.916666666666666</v>
      </c>
      <c r="W324" s="150">
        <f t="shared" si="26"/>
        <v>22.083333333333336</v>
      </c>
      <c r="X324" s="146">
        <f t="shared" si="27"/>
        <v>22.083333333333336</v>
      </c>
    </row>
    <row r="325" spans="1:24" ht="9.75" customHeight="1" x14ac:dyDescent="0.25">
      <c r="A325" s="288">
        <v>725</v>
      </c>
      <c r="B325" s="288"/>
      <c r="D325" s="258" t="s">
        <v>64</v>
      </c>
      <c r="E325" s="289">
        <v>39721</v>
      </c>
      <c r="F325" s="289"/>
      <c r="G325" s="289"/>
      <c r="H325" s="289"/>
      <c r="I325" s="290" t="s">
        <v>205</v>
      </c>
      <c r="J325" s="290"/>
      <c r="K325" s="290"/>
      <c r="L325" s="47">
        <v>33</v>
      </c>
      <c r="M325" s="262">
        <v>3987.04</v>
      </c>
      <c r="N325" s="47">
        <v>100</v>
      </c>
      <c r="O325" s="291">
        <v>996.77</v>
      </c>
      <c r="P325" s="291"/>
      <c r="Q325" s="291"/>
      <c r="R325" s="262">
        <v>120.82000000000001</v>
      </c>
      <c r="S325" s="262">
        <v>1117.5899999999999</v>
      </c>
      <c r="U325" s="149">
        <f t="shared" si="24"/>
        <v>51766</v>
      </c>
      <c r="V325" s="146">
        <f t="shared" si="25"/>
        <v>9.25</v>
      </c>
      <c r="W325" s="150">
        <f t="shared" si="26"/>
        <v>23.75</v>
      </c>
      <c r="X325" s="146">
        <f t="shared" si="27"/>
        <v>23.75</v>
      </c>
    </row>
    <row r="326" spans="1:24" ht="9.75" customHeight="1" x14ac:dyDescent="0.25">
      <c r="A326" s="288">
        <v>726</v>
      </c>
      <c r="B326" s="288"/>
      <c r="D326" s="258" t="s">
        <v>64</v>
      </c>
      <c r="E326" s="289">
        <v>39202</v>
      </c>
      <c r="F326" s="289"/>
      <c r="G326" s="289"/>
      <c r="H326" s="289"/>
      <c r="I326" s="290" t="s">
        <v>205</v>
      </c>
      <c r="J326" s="290"/>
      <c r="K326" s="290"/>
      <c r="L326" s="47">
        <v>33</v>
      </c>
      <c r="M326" s="262">
        <v>180</v>
      </c>
      <c r="N326" s="47">
        <v>100</v>
      </c>
      <c r="O326" s="291">
        <v>52.68</v>
      </c>
      <c r="P326" s="291"/>
      <c r="Q326" s="291"/>
      <c r="R326" s="262">
        <v>5.45</v>
      </c>
      <c r="S326" s="262">
        <v>58.13</v>
      </c>
      <c r="U326" s="149">
        <f t="shared" si="24"/>
        <v>51247</v>
      </c>
      <c r="V326" s="146">
        <f t="shared" si="25"/>
        <v>10.666666666666666</v>
      </c>
      <c r="W326" s="150">
        <f t="shared" si="26"/>
        <v>22.333333333333336</v>
      </c>
      <c r="X326" s="146">
        <f t="shared" si="27"/>
        <v>22.333333333333336</v>
      </c>
    </row>
    <row r="327" spans="1:24" ht="9.75" customHeight="1" x14ac:dyDescent="0.25">
      <c r="A327" s="288">
        <v>727</v>
      </c>
      <c r="B327" s="288"/>
      <c r="D327" s="258" t="s">
        <v>64</v>
      </c>
      <c r="E327" s="289">
        <v>39233</v>
      </c>
      <c r="F327" s="289"/>
      <c r="G327" s="289"/>
      <c r="H327" s="289"/>
      <c r="I327" s="290" t="s">
        <v>205</v>
      </c>
      <c r="J327" s="290"/>
      <c r="K327" s="290"/>
      <c r="L327" s="47">
        <v>33</v>
      </c>
      <c r="M327" s="262">
        <v>60</v>
      </c>
      <c r="N327" s="47">
        <v>100</v>
      </c>
      <c r="O327" s="291">
        <v>17.440000000000001</v>
      </c>
      <c r="P327" s="291"/>
      <c r="Q327" s="291"/>
      <c r="R327" s="262">
        <v>1.82</v>
      </c>
      <c r="S327" s="262">
        <v>19.260000000000002</v>
      </c>
      <c r="U327" s="149">
        <f t="shared" si="24"/>
        <v>51278</v>
      </c>
      <c r="V327" s="146">
        <f t="shared" si="25"/>
        <v>10.583333333333334</v>
      </c>
      <c r="W327" s="150">
        <f t="shared" si="26"/>
        <v>22.416666666666664</v>
      </c>
      <c r="X327" s="146">
        <f t="shared" si="27"/>
        <v>22.416666666666664</v>
      </c>
    </row>
    <row r="328" spans="1:24" ht="9.75" customHeight="1" x14ac:dyDescent="0.25">
      <c r="A328" s="288">
        <v>731</v>
      </c>
      <c r="B328" s="288"/>
      <c r="D328" s="258" t="s">
        <v>64</v>
      </c>
      <c r="E328" s="289">
        <v>39263</v>
      </c>
      <c r="F328" s="289"/>
      <c r="G328" s="289"/>
      <c r="H328" s="289"/>
      <c r="I328" s="290" t="s">
        <v>205</v>
      </c>
      <c r="J328" s="290"/>
      <c r="K328" s="290"/>
      <c r="L328" s="47">
        <v>33</v>
      </c>
      <c r="M328" s="262">
        <v>1852.5</v>
      </c>
      <c r="N328" s="47">
        <v>100</v>
      </c>
      <c r="O328" s="291">
        <v>533.33000000000004</v>
      </c>
      <c r="P328" s="291"/>
      <c r="Q328" s="291"/>
      <c r="R328" s="262">
        <v>56.14</v>
      </c>
      <c r="S328" s="262">
        <v>589.47</v>
      </c>
      <c r="U328" s="149">
        <f t="shared" si="24"/>
        <v>51308</v>
      </c>
      <c r="V328" s="146">
        <f t="shared" si="25"/>
        <v>10.5</v>
      </c>
      <c r="W328" s="150">
        <f t="shared" si="26"/>
        <v>22.5</v>
      </c>
      <c r="X328" s="146">
        <f t="shared" si="27"/>
        <v>22.5</v>
      </c>
    </row>
    <row r="329" spans="1:24" ht="9.75" customHeight="1" x14ac:dyDescent="0.25">
      <c r="A329" s="288">
        <v>734</v>
      </c>
      <c r="B329" s="288"/>
      <c r="D329" s="258" t="s">
        <v>64</v>
      </c>
      <c r="E329" s="289">
        <v>39294</v>
      </c>
      <c r="F329" s="289"/>
      <c r="G329" s="289"/>
      <c r="H329" s="289"/>
      <c r="I329" s="290" t="s">
        <v>205</v>
      </c>
      <c r="J329" s="290"/>
      <c r="K329" s="290"/>
      <c r="L329" s="47">
        <v>33</v>
      </c>
      <c r="M329" s="262">
        <v>3452.87</v>
      </c>
      <c r="N329" s="47">
        <v>100</v>
      </c>
      <c r="O329" s="291">
        <v>985.27</v>
      </c>
      <c r="P329" s="291"/>
      <c r="Q329" s="291"/>
      <c r="R329" s="262">
        <v>104.63</v>
      </c>
      <c r="S329" s="262">
        <v>1089.9000000000001</v>
      </c>
      <c r="U329" s="149">
        <f t="shared" si="24"/>
        <v>51339</v>
      </c>
      <c r="V329" s="146">
        <f t="shared" si="25"/>
        <v>10.416666666666666</v>
      </c>
      <c r="W329" s="150">
        <f t="shared" si="26"/>
        <v>22.583333333333336</v>
      </c>
      <c r="X329" s="146">
        <f t="shared" si="27"/>
        <v>22.583333333333336</v>
      </c>
    </row>
    <row r="330" spans="1:24" ht="9.75" customHeight="1" x14ac:dyDescent="0.25">
      <c r="A330" s="288">
        <v>739</v>
      </c>
      <c r="B330" s="288"/>
      <c r="D330" s="258" t="s">
        <v>64</v>
      </c>
      <c r="E330" s="289">
        <v>39325</v>
      </c>
      <c r="F330" s="289"/>
      <c r="G330" s="289"/>
      <c r="H330" s="289"/>
      <c r="I330" s="290" t="s">
        <v>205</v>
      </c>
      <c r="J330" s="290"/>
      <c r="K330" s="290"/>
      <c r="L330" s="47">
        <v>33</v>
      </c>
      <c r="M330" s="262">
        <v>30</v>
      </c>
      <c r="N330" s="47">
        <v>100</v>
      </c>
      <c r="O330" s="291">
        <v>8.49</v>
      </c>
      <c r="P330" s="291"/>
      <c r="Q330" s="291"/>
      <c r="R330" s="262">
        <v>0.91</v>
      </c>
      <c r="S330" s="262">
        <v>9.4</v>
      </c>
      <c r="U330" s="149">
        <f t="shared" si="24"/>
        <v>51370</v>
      </c>
      <c r="V330" s="146">
        <f t="shared" si="25"/>
        <v>10.333333333333334</v>
      </c>
      <c r="W330" s="150">
        <f t="shared" si="26"/>
        <v>22.666666666666664</v>
      </c>
      <c r="X330" s="146">
        <f t="shared" si="27"/>
        <v>22.666666666666664</v>
      </c>
    </row>
    <row r="331" spans="1:24" ht="9.75" customHeight="1" x14ac:dyDescent="0.25">
      <c r="A331" s="288">
        <v>755</v>
      </c>
      <c r="B331" s="288"/>
      <c r="D331" s="258" t="s">
        <v>64</v>
      </c>
      <c r="E331" s="289">
        <v>39752</v>
      </c>
      <c r="F331" s="289"/>
      <c r="G331" s="289"/>
      <c r="H331" s="289"/>
      <c r="I331" s="290" t="s">
        <v>205</v>
      </c>
      <c r="J331" s="290"/>
      <c r="K331" s="290"/>
      <c r="L331" s="47">
        <v>33</v>
      </c>
      <c r="M331" s="262">
        <v>384.78000000000003</v>
      </c>
      <c r="N331" s="47">
        <v>100</v>
      </c>
      <c r="O331" s="291">
        <v>95.22</v>
      </c>
      <c r="P331" s="291"/>
      <c r="Q331" s="291"/>
      <c r="R331" s="262">
        <v>11.66</v>
      </c>
      <c r="S331" s="262">
        <v>106.88</v>
      </c>
      <c r="U331" s="149">
        <f t="shared" si="24"/>
        <v>51797</v>
      </c>
      <c r="V331" s="146">
        <f t="shared" si="25"/>
        <v>9.1666666666666661</v>
      </c>
      <c r="W331" s="150">
        <f t="shared" si="26"/>
        <v>23.833333333333336</v>
      </c>
      <c r="X331" s="146">
        <f t="shared" si="27"/>
        <v>23.833333333333336</v>
      </c>
    </row>
    <row r="332" spans="1:24" ht="9.75" customHeight="1" x14ac:dyDescent="0.25">
      <c r="A332" s="288">
        <v>763</v>
      </c>
      <c r="B332" s="288"/>
      <c r="D332" s="258" t="s">
        <v>289</v>
      </c>
      <c r="E332" s="289">
        <v>39758</v>
      </c>
      <c r="F332" s="289"/>
      <c r="G332" s="289"/>
      <c r="H332" s="289"/>
      <c r="I332" s="290" t="s">
        <v>205</v>
      </c>
      <c r="J332" s="290"/>
      <c r="K332" s="290"/>
      <c r="L332" s="47">
        <v>33</v>
      </c>
      <c r="M332" s="262">
        <v>42537</v>
      </c>
      <c r="N332" s="47">
        <v>100</v>
      </c>
      <c r="O332" s="291">
        <v>10526.83</v>
      </c>
      <c r="P332" s="291"/>
      <c r="Q332" s="291"/>
      <c r="R332" s="262">
        <v>1289</v>
      </c>
      <c r="S332" s="262">
        <v>11815.83</v>
      </c>
      <c r="U332" s="149">
        <f t="shared" si="24"/>
        <v>51803</v>
      </c>
      <c r="V332" s="146">
        <f t="shared" si="25"/>
        <v>9.1527777777777786</v>
      </c>
      <c r="W332" s="150">
        <f t="shared" si="26"/>
        <v>23.847222222222221</v>
      </c>
      <c r="X332" s="146">
        <f t="shared" si="27"/>
        <v>23.847222222222221</v>
      </c>
    </row>
    <row r="333" spans="1:24" ht="9.75" customHeight="1" x14ac:dyDescent="0.25">
      <c r="A333" s="288">
        <v>764</v>
      </c>
      <c r="B333" s="288"/>
      <c r="D333" s="258" t="s">
        <v>64</v>
      </c>
      <c r="E333" s="289">
        <v>39782</v>
      </c>
      <c r="F333" s="289"/>
      <c r="G333" s="289"/>
      <c r="H333" s="289"/>
      <c r="I333" s="290" t="s">
        <v>205</v>
      </c>
      <c r="J333" s="290"/>
      <c r="K333" s="290"/>
      <c r="L333" s="47">
        <v>33</v>
      </c>
      <c r="M333" s="262">
        <v>107.11</v>
      </c>
      <c r="N333" s="47">
        <v>100</v>
      </c>
      <c r="O333" s="291">
        <v>26.27</v>
      </c>
      <c r="P333" s="291"/>
      <c r="Q333" s="291"/>
      <c r="R333" s="262">
        <v>3.25</v>
      </c>
      <c r="S333" s="262">
        <v>29.52</v>
      </c>
      <c r="U333" s="149">
        <f t="shared" si="24"/>
        <v>51827</v>
      </c>
      <c r="V333" s="146">
        <f t="shared" si="25"/>
        <v>9.0833333333333339</v>
      </c>
      <c r="W333" s="150">
        <f t="shared" si="26"/>
        <v>23.916666666666664</v>
      </c>
      <c r="X333" s="146">
        <f t="shared" si="27"/>
        <v>23.916666666666664</v>
      </c>
    </row>
    <row r="334" spans="1:24" ht="9.75" customHeight="1" x14ac:dyDescent="0.25">
      <c r="A334" s="288">
        <v>772</v>
      </c>
      <c r="B334" s="288"/>
      <c r="D334" s="258" t="s">
        <v>64</v>
      </c>
      <c r="E334" s="289">
        <v>39813</v>
      </c>
      <c r="F334" s="289"/>
      <c r="G334" s="289"/>
      <c r="H334" s="289"/>
      <c r="I334" s="290" t="s">
        <v>205</v>
      </c>
      <c r="J334" s="290"/>
      <c r="K334" s="290"/>
      <c r="L334" s="47">
        <v>33</v>
      </c>
      <c r="M334" s="262">
        <v>1336.63</v>
      </c>
      <c r="N334" s="47">
        <v>100</v>
      </c>
      <c r="O334" s="291">
        <v>324</v>
      </c>
      <c r="P334" s="291"/>
      <c r="Q334" s="291"/>
      <c r="R334" s="262">
        <v>40.5</v>
      </c>
      <c r="S334" s="262">
        <v>364.5</v>
      </c>
      <c r="U334" s="149">
        <f t="shared" si="24"/>
        <v>51858</v>
      </c>
      <c r="V334" s="146">
        <f t="shared" si="25"/>
        <v>9</v>
      </c>
      <c r="W334" s="150">
        <f t="shared" si="26"/>
        <v>24</v>
      </c>
      <c r="X334" s="146">
        <f t="shared" si="27"/>
        <v>24</v>
      </c>
    </row>
    <row r="335" spans="1:24" ht="9.75" customHeight="1" x14ac:dyDescent="0.25">
      <c r="A335" s="288">
        <v>782</v>
      </c>
      <c r="B335" s="288"/>
      <c r="D335" s="258" t="s">
        <v>64</v>
      </c>
      <c r="E335" s="289">
        <v>39903</v>
      </c>
      <c r="F335" s="289"/>
      <c r="G335" s="289"/>
      <c r="H335" s="289"/>
      <c r="I335" s="290" t="s">
        <v>205</v>
      </c>
      <c r="J335" s="290"/>
      <c r="K335" s="290"/>
      <c r="L335" s="47">
        <v>33</v>
      </c>
      <c r="M335" s="262">
        <v>742.08</v>
      </c>
      <c r="N335" s="47">
        <v>100</v>
      </c>
      <c r="O335" s="291">
        <v>174.3</v>
      </c>
      <c r="P335" s="291"/>
      <c r="Q335" s="291"/>
      <c r="R335" s="262">
        <v>22.490000000000002</v>
      </c>
      <c r="S335" s="262">
        <v>196.79</v>
      </c>
      <c r="U335" s="149">
        <f t="shared" si="24"/>
        <v>51948</v>
      </c>
      <c r="V335" s="146">
        <f t="shared" si="25"/>
        <v>8.75</v>
      </c>
      <c r="W335" s="150">
        <f t="shared" si="26"/>
        <v>24.25</v>
      </c>
      <c r="X335" s="146">
        <f t="shared" si="27"/>
        <v>24.25</v>
      </c>
    </row>
    <row r="336" spans="1:24" ht="9.75" customHeight="1" x14ac:dyDescent="0.25">
      <c r="A336" s="288">
        <v>786</v>
      </c>
      <c r="B336" s="288"/>
      <c r="D336" s="258" t="s">
        <v>64</v>
      </c>
      <c r="E336" s="289">
        <v>39933</v>
      </c>
      <c r="F336" s="289"/>
      <c r="G336" s="289"/>
      <c r="H336" s="289"/>
      <c r="I336" s="290" t="s">
        <v>205</v>
      </c>
      <c r="J336" s="290"/>
      <c r="K336" s="290"/>
      <c r="L336" s="47">
        <v>33</v>
      </c>
      <c r="M336" s="262">
        <v>50.92</v>
      </c>
      <c r="N336" s="47">
        <v>100</v>
      </c>
      <c r="O336" s="291">
        <v>11.81</v>
      </c>
      <c r="P336" s="291"/>
      <c r="Q336" s="291"/>
      <c r="R336" s="262">
        <v>1.54</v>
      </c>
      <c r="S336" s="262">
        <v>13.35</v>
      </c>
      <c r="U336" s="149">
        <f t="shared" si="24"/>
        <v>51978</v>
      </c>
      <c r="V336" s="146">
        <f t="shared" si="25"/>
        <v>8.6666666666666661</v>
      </c>
      <c r="W336" s="150">
        <f t="shared" si="26"/>
        <v>24.333333333333336</v>
      </c>
      <c r="X336" s="146">
        <f t="shared" si="27"/>
        <v>24.333333333333336</v>
      </c>
    </row>
    <row r="337" spans="1:24" ht="9.75" customHeight="1" x14ac:dyDescent="0.25">
      <c r="A337" s="288">
        <v>790</v>
      </c>
      <c r="B337" s="288"/>
      <c r="D337" s="258" t="s">
        <v>64</v>
      </c>
      <c r="E337" s="289">
        <v>39964</v>
      </c>
      <c r="F337" s="289"/>
      <c r="G337" s="289"/>
      <c r="H337" s="289"/>
      <c r="I337" s="290" t="s">
        <v>205</v>
      </c>
      <c r="J337" s="290"/>
      <c r="K337" s="290"/>
      <c r="L337" s="47">
        <v>33</v>
      </c>
      <c r="M337" s="262">
        <v>958.68000000000006</v>
      </c>
      <c r="N337" s="47">
        <v>100</v>
      </c>
      <c r="O337" s="291">
        <v>220.3</v>
      </c>
      <c r="P337" s="291"/>
      <c r="Q337" s="291"/>
      <c r="R337" s="262">
        <v>29.05</v>
      </c>
      <c r="S337" s="262">
        <v>249.35</v>
      </c>
      <c r="U337" s="149">
        <f t="shared" si="24"/>
        <v>52009</v>
      </c>
      <c r="V337" s="146">
        <f t="shared" si="25"/>
        <v>8.5833333333333339</v>
      </c>
      <c r="W337" s="150">
        <f t="shared" si="26"/>
        <v>24.416666666666664</v>
      </c>
      <c r="X337" s="146">
        <f t="shared" si="27"/>
        <v>24.416666666666664</v>
      </c>
    </row>
    <row r="338" spans="1:24" ht="9.75" customHeight="1" x14ac:dyDescent="0.25">
      <c r="A338" s="288">
        <v>793</v>
      </c>
      <c r="B338" s="288"/>
      <c r="D338" s="258" t="s">
        <v>64</v>
      </c>
      <c r="E338" s="289">
        <v>39994</v>
      </c>
      <c r="F338" s="289"/>
      <c r="G338" s="289"/>
      <c r="H338" s="289"/>
      <c r="I338" s="290" t="s">
        <v>205</v>
      </c>
      <c r="J338" s="290"/>
      <c r="K338" s="290"/>
      <c r="L338" s="47">
        <v>33</v>
      </c>
      <c r="M338" s="262">
        <v>155.36000000000001</v>
      </c>
      <c r="N338" s="47">
        <v>100</v>
      </c>
      <c r="O338" s="291">
        <v>35.33</v>
      </c>
      <c r="P338" s="291"/>
      <c r="Q338" s="291"/>
      <c r="R338" s="262">
        <v>4.71</v>
      </c>
      <c r="S338" s="262">
        <v>40.04</v>
      </c>
      <c r="U338" s="149">
        <f t="shared" si="24"/>
        <v>52039</v>
      </c>
      <c r="V338" s="146">
        <f t="shared" si="25"/>
        <v>8.5</v>
      </c>
      <c r="W338" s="150">
        <f t="shared" si="26"/>
        <v>24.5</v>
      </c>
      <c r="X338" s="146">
        <f t="shared" ref="X338:X365" si="28">IF(W338=0,0,W338)</f>
        <v>24.5</v>
      </c>
    </row>
    <row r="339" spans="1:24" ht="9.75" customHeight="1" x14ac:dyDescent="0.25">
      <c r="A339" s="288">
        <v>796</v>
      </c>
      <c r="B339" s="288"/>
      <c r="D339" s="258" t="s">
        <v>64</v>
      </c>
      <c r="E339" s="289">
        <v>40025</v>
      </c>
      <c r="F339" s="289"/>
      <c r="G339" s="289"/>
      <c r="H339" s="289"/>
      <c r="I339" s="290" t="s">
        <v>205</v>
      </c>
      <c r="J339" s="290"/>
      <c r="K339" s="290"/>
      <c r="L339" s="47">
        <v>33</v>
      </c>
      <c r="M339" s="262">
        <v>1358.51</v>
      </c>
      <c r="N339" s="47">
        <v>100</v>
      </c>
      <c r="O339" s="291">
        <v>305.33999999999997</v>
      </c>
      <c r="P339" s="291"/>
      <c r="Q339" s="291"/>
      <c r="R339" s="262">
        <v>41.17</v>
      </c>
      <c r="S339" s="262">
        <v>346.51</v>
      </c>
      <c r="U339" s="149">
        <f t="shared" si="24"/>
        <v>52070</v>
      </c>
      <c r="V339" s="146">
        <f t="shared" si="25"/>
        <v>8.4166666666666661</v>
      </c>
      <c r="W339" s="150">
        <f t="shared" si="26"/>
        <v>24.583333333333336</v>
      </c>
      <c r="X339" s="146">
        <f t="shared" si="28"/>
        <v>24.583333333333336</v>
      </c>
    </row>
    <row r="340" spans="1:24" ht="9.75" customHeight="1" x14ac:dyDescent="0.25">
      <c r="A340" s="288">
        <v>802</v>
      </c>
      <c r="B340" s="288"/>
      <c r="D340" s="258" t="s">
        <v>64</v>
      </c>
      <c r="E340" s="289">
        <v>40056</v>
      </c>
      <c r="F340" s="289"/>
      <c r="G340" s="289"/>
      <c r="H340" s="289"/>
      <c r="I340" s="290" t="s">
        <v>205</v>
      </c>
      <c r="J340" s="290"/>
      <c r="K340" s="290"/>
      <c r="L340" s="47">
        <v>33</v>
      </c>
      <c r="M340" s="262">
        <v>1676.14</v>
      </c>
      <c r="N340" s="47">
        <v>100</v>
      </c>
      <c r="O340" s="291">
        <v>372.46</v>
      </c>
      <c r="P340" s="291"/>
      <c r="Q340" s="291"/>
      <c r="R340" s="262">
        <v>50.79</v>
      </c>
      <c r="S340" s="262">
        <v>423.25</v>
      </c>
      <c r="U340" s="149">
        <f t="shared" si="24"/>
        <v>52101</v>
      </c>
      <c r="V340" s="146">
        <f t="shared" si="25"/>
        <v>8.3333333333333339</v>
      </c>
      <c r="W340" s="150">
        <f t="shared" si="26"/>
        <v>24.666666666666664</v>
      </c>
      <c r="X340" s="146">
        <f t="shared" si="28"/>
        <v>24.666666666666664</v>
      </c>
    </row>
    <row r="341" spans="1:24" ht="9.75" customHeight="1" x14ac:dyDescent="0.25">
      <c r="A341" s="288">
        <v>805</v>
      </c>
      <c r="B341" s="288"/>
      <c r="D341" s="258" t="s">
        <v>64</v>
      </c>
      <c r="E341" s="289">
        <v>40086</v>
      </c>
      <c r="F341" s="289"/>
      <c r="G341" s="289"/>
      <c r="H341" s="289"/>
      <c r="I341" s="290" t="s">
        <v>205</v>
      </c>
      <c r="J341" s="290"/>
      <c r="K341" s="290"/>
      <c r="L341" s="47">
        <v>33</v>
      </c>
      <c r="M341" s="262">
        <v>1570.54</v>
      </c>
      <c r="N341" s="47">
        <v>100</v>
      </c>
      <c r="O341" s="291">
        <v>345.03000000000003</v>
      </c>
      <c r="P341" s="291"/>
      <c r="Q341" s="291"/>
      <c r="R341" s="262">
        <v>47.59</v>
      </c>
      <c r="S341" s="262">
        <v>392.62</v>
      </c>
      <c r="U341" s="149">
        <f t="shared" si="24"/>
        <v>52131</v>
      </c>
      <c r="V341" s="146">
        <f t="shared" si="25"/>
        <v>8.25</v>
      </c>
      <c r="W341" s="150">
        <f t="shared" si="26"/>
        <v>24.75</v>
      </c>
      <c r="X341" s="146">
        <f t="shared" si="28"/>
        <v>24.75</v>
      </c>
    </row>
    <row r="342" spans="1:24" ht="9.75" customHeight="1" x14ac:dyDescent="0.25">
      <c r="A342" s="288">
        <v>808</v>
      </c>
      <c r="B342" s="288"/>
      <c r="D342" s="258" t="s">
        <v>290</v>
      </c>
      <c r="E342" s="289">
        <v>40102</v>
      </c>
      <c r="F342" s="289"/>
      <c r="G342" s="289"/>
      <c r="H342" s="289"/>
      <c r="I342" s="290" t="s">
        <v>205</v>
      </c>
      <c r="J342" s="290"/>
      <c r="K342" s="290"/>
      <c r="L342" s="47">
        <v>33</v>
      </c>
      <c r="M342" s="262">
        <v>231.01</v>
      </c>
      <c r="N342" s="47">
        <v>100</v>
      </c>
      <c r="O342" s="291">
        <v>50.75</v>
      </c>
      <c r="P342" s="291"/>
      <c r="Q342" s="291"/>
      <c r="R342" s="262">
        <v>7</v>
      </c>
      <c r="S342" s="262">
        <v>57.75</v>
      </c>
      <c r="U342" s="149">
        <f t="shared" si="24"/>
        <v>52147</v>
      </c>
      <c r="V342" s="146">
        <f t="shared" si="25"/>
        <v>8.2083333333333339</v>
      </c>
      <c r="W342" s="150">
        <f t="shared" si="26"/>
        <v>24.791666666666664</v>
      </c>
      <c r="X342" s="146">
        <f t="shared" si="28"/>
        <v>24.791666666666664</v>
      </c>
    </row>
    <row r="343" spans="1:24" ht="9.75" customHeight="1" x14ac:dyDescent="0.25">
      <c r="A343" s="288">
        <v>809</v>
      </c>
      <c r="B343" s="288"/>
      <c r="D343" s="258" t="s">
        <v>291</v>
      </c>
      <c r="E343" s="289">
        <v>40105</v>
      </c>
      <c r="F343" s="289"/>
      <c r="G343" s="289"/>
      <c r="H343" s="289"/>
      <c r="I343" s="290" t="s">
        <v>205</v>
      </c>
      <c r="J343" s="290"/>
      <c r="K343" s="290"/>
      <c r="L343" s="47">
        <v>33</v>
      </c>
      <c r="M343" s="262">
        <v>157</v>
      </c>
      <c r="N343" s="47">
        <v>100</v>
      </c>
      <c r="O343" s="291">
        <v>34.11</v>
      </c>
      <c r="P343" s="291"/>
      <c r="Q343" s="291"/>
      <c r="R343" s="262">
        <v>4.76</v>
      </c>
      <c r="S343" s="262">
        <v>38.869999999999997</v>
      </c>
      <c r="U343" s="149">
        <f t="shared" si="24"/>
        <v>52150</v>
      </c>
      <c r="V343" s="146">
        <f t="shared" si="25"/>
        <v>8.1999999999999993</v>
      </c>
      <c r="W343" s="150">
        <f t="shared" si="26"/>
        <v>24.8</v>
      </c>
      <c r="X343" s="146">
        <f t="shared" si="28"/>
        <v>24.8</v>
      </c>
    </row>
    <row r="344" spans="1:24" ht="9.75" customHeight="1" x14ac:dyDescent="0.25">
      <c r="A344" s="288">
        <v>810</v>
      </c>
      <c r="B344" s="288"/>
      <c r="D344" s="258" t="s">
        <v>64</v>
      </c>
      <c r="E344" s="289">
        <v>40117</v>
      </c>
      <c r="F344" s="289"/>
      <c r="G344" s="289"/>
      <c r="H344" s="289"/>
      <c r="I344" s="290" t="s">
        <v>205</v>
      </c>
      <c r="J344" s="290"/>
      <c r="K344" s="290"/>
      <c r="L344" s="47">
        <v>33</v>
      </c>
      <c r="M344" s="262">
        <v>564.73</v>
      </c>
      <c r="N344" s="47">
        <v>100</v>
      </c>
      <c r="O344" s="291">
        <v>122.62</v>
      </c>
      <c r="P344" s="291"/>
      <c r="Q344" s="291"/>
      <c r="R344" s="262">
        <v>17.11</v>
      </c>
      <c r="S344" s="262">
        <v>139.72999999999999</v>
      </c>
      <c r="U344" s="149">
        <f t="shared" si="24"/>
        <v>52162</v>
      </c>
      <c r="V344" s="146">
        <f t="shared" si="25"/>
        <v>8.1666666666666661</v>
      </c>
      <c r="W344" s="150">
        <f t="shared" si="26"/>
        <v>24.833333333333336</v>
      </c>
      <c r="X344" s="146">
        <f t="shared" si="28"/>
        <v>24.833333333333336</v>
      </c>
    </row>
    <row r="345" spans="1:24" ht="9.75" customHeight="1" x14ac:dyDescent="0.25">
      <c r="A345" s="288">
        <v>813</v>
      </c>
      <c r="B345" s="288"/>
      <c r="D345" s="258" t="s">
        <v>64</v>
      </c>
      <c r="E345" s="289">
        <v>40148</v>
      </c>
      <c r="F345" s="289"/>
      <c r="G345" s="289"/>
      <c r="H345" s="289"/>
      <c r="I345" s="290" t="s">
        <v>205</v>
      </c>
      <c r="J345" s="290"/>
      <c r="K345" s="290"/>
      <c r="L345" s="47">
        <v>33</v>
      </c>
      <c r="M345" s="262">
        <v>8819.4599999999991</v>
      </c>
      <c r="N345" s="47">
        <v>100</v>
      </c>
      <c r="O345" s="291">
        <v>1893.0900000000001</v>
      </c>
      <c r="P345" s="291"/>
      <c r="Q345" s="291"/>
      <c r="R345" s="262">
        <v>267.26</v>
      </c>
      <c r="S345" s="262">
        <v>2160.35</v>
      </c>
      <c r="U345" s="149">
        <f t="shared" si="24"/>
        <v>52193</v>
      </c>
      <c r="V345" s="146">
        <f t="shared" si="25"/>
        <v>8.0833333333333339</v>
      </c>
      <c r="W345" s="150">
        <f t="shared" si="26"/>
        <v>24.916666666666664</v>
      </c>
      <c r="X345" s="146">
        <f t="shared" si="28"/>
        <v>24.916666666666664</v>
      </c>
    </row>
    <row r="346" spans="1:24" ht="9.75" customHeight="1" x14ac:dyDescent="0.25">
      <c r="A346" s="288">
        <v>819</v>
      </c>
      <c r="B346" s="288"/>
      <c r="D346" s="258" t="s">
        <v>64</v>
      </c>
      <c r="E346" s="289">
        <v>40209</v>
      </c>
      <c r="F346" s="289"/>
      <c r="G346" s="289"/>
      <c r="H346" s="289"/>
      <c r="I346" s="290" t="s">
        <v>205</v>
      </c>
      <c r="J346" s="290"/>
      <c r="K346" s="290"/>
      <c r="L346" s="47">
        <v>33</v>
      </c>
      <c r="M346" s="262">
        <v>979.61</v>
      </c>
      <c r="N346" s="47">
        <v>100</v>
      </c>
      <c r="O346" s="291">
        <v>205.36</v>
      </c>
      <c r="P346" s="291"/>
      <c r="Q346" s="291"/>
      <c r="R346" s="262">
        <v>29.69</v>
      </c>
      <c r="S346" s="262">
        <v>235.05</v>
      </c>
      <c r="U346" s="149">
        <f t="shared" si="24"/>
        <v>52254</v>
      </c>
      <c r="V346" s="146">
        <f t="shared" si="25"/>
        <v>7.916666666666667</v>
      </c>
      <c r="W346" s="150">
        <f t="shared" si="26"/>
        <v>25.083333333333332</v>
      </c>
      <c r="X346" s="146">
        <f t="shared" si="28"/>
        <v>25.083333333333332</v>
      </c>
    </row>
    <row r="347" spans="1:24" ht="9.75" customHeight="1" x14ac:dyDescent="0.25">
      <c r="A347" s="288">
        <v>823</v>
      </c>
      <c r="B347" s="288"/>
      <c r="D347" s="258" t="s">
        <v>64</v>
      </c>
      <c r="E347" s="289">
        <v>40237</v>
      </c>
      <c r="F347" s="289"/>
      <c r="G347" s="289"/>
      <c r="H347" s="289"/>
      <c r="I347" s="290" t="s">
        <v>205</v>
      </c>
      <c r="J347" s="290"/>
      <c r="K347" s="290"/>
      <c r="L347" s="47">
        <v>33</v>
      </c>
      <c r="M347" s="262">
        <v>731.57</v>
      </c>
      <c r="N347" s="47">
        <v>100</v>
      </c>
      <c r="O347" s="291">
        <v>151.49</v>
      </c>
      <c r="P347" s="291"/>
      <c r="Q347" s="291"/>
      <c r="R347" s="262">
        <v>22.17</v>
      </c>
      <c r="S347" s="262">
        <v>173.66</v>
      </c>
      <c r="U347" s="149">
        <f t="shared" si="24"/>
        <v>52282</v>
      </c>
      <c r="V347" s="146">
        <f t="shared" si="25"/>
        <v>7.8361111111111112</v>
      </c>
      <c r="W347" s="150">
        <f t="shared" si="26"/>
        <v>25.163888888888888</v>
      </c>
      <c r="X347" s="146">
        <f t="shared" si="28"/>
        <v>25.163888888888888</v>
      </c>
    </row>
    <row r="348" spans="1:24" ht="9.75" customHeight="1" x14ac:dyDescent="0.25">
      <c r="A348" s="288">
        <v>826</v>
      </c>
      <c r="B348" s="288"/>
      <c r="D348" s="258" t="s">
        <v>64</v>
      </c>
      <c r="E348" s="289">
        <v>40268</v>
      </c>
      <c r="F348" s="289"/>
      <c r="G348" s="289"/>
      <c r="H348" s="289"/>
      <c r="I348" s="290" t="s">
        <v>205</v>
      </c>
      <c r="J348" s="290"/>
      <c r="K348" s="290"/>
      <c r="L348" s="47">
        <v>33</v>
      </c>
      <c r="M348" s="262">
        <v>869.13</v>
      </c>
      <c r="N348" s="47">
        <v>100</v>
      </c>
      <c r="O348" s="291">
        <v>177.8</v>
      </c>
      <c r="P348" s="291"/>
      <c r="Q348" s="291"/>
      <c r="R348" s="262">
        <v>26.34</v>
      </c>
      <c r="S348" s="262">
        <v>204.14000000000001</v>
      </c>
      <c r="U348" s="149">
        <f t="shared" si="24"/>
        <v>52313</v>
      </c>
      <c r="V348" s="146">
        <f t="shared" si="25"/>
        <v>7.75</v>
      </c>
      <c r="W348" s="150">
        <f t="shared" si="26"/>
        <v>25.25</v>
      </c>
      <c r="X348" s="146">
        <f t="shared" si="28"/>
        <v>25.25</v>
      </c>
    </row>
    <row r="349" spans="1:24" ht="9.75" customHeight="1" x14ac:dyDescent="0.25">
      <c r="A349" s="288">
        <v>832</v>
      </c>
      <c r="B349" s="288"/>
      <c r="D349" s="258" t="s">
        <v>64</v>
      </c>
      <c r="E349" s="289">
        <v>40298</v>
      </c>
      <c r="F349" s="289"/>
      <c r="G349" s="289"/>
      <c r="H349" s="289"/>
      <c r="I349" s="290" t="s">
        <v>205</v>
      </c>
      <c r="J349" s="290"/>
      <c r="K349" s="290"/>
      <c r="L349" s="47">
        <v>33</v>
      </c>
      <c r="M349" s="262">
        <v>1305.32</v>
      </c>
      <c r="N349" s="47">
        <v>100</v>
      </c>
      <c r="O349" s="291">
        <v>263.73</v>
      </c>
      <c r="P349" s="291"/>
      <c r="Q349" s="291"/>
      <c r="R349" s="262">
        <v>39.56</v>
      </c>
      <c r="S349" s="262">
        <v>303.29000000000002</v>
      </c>
      <c r="U349" s="149">
        <f t="shared" si="24"/>
        <v>52343</v>
      </c>
      <c r="V349" s="146">
        <f t="shared" si="25"/>
        <v>7.666666666666667</v>
      </c>
      <c r="W349" s="150">
        <f t="shared" si="26"/>
        <v>25.333333333333332</v>
      </c>
      <c r="X349" s="146">
        <f t="shared" si="28"/>
        <v>25.333333333333332</v>
      </c>
    </row>
    <row r="350" spans="1:24" ht="9.75" customHeight="1" x14ac:dyDescent="0.25">
      <c r="A350" s="288">
        <v>835</v>
      </c>
      <c r="B350" s="288"/>
      <c r="D350" s="258" t="s">
        <v>64</v>
      </c>
      <c r="E350" s="289">
        <v>40329</v>
      </c>
      <c r="F350" s="289"/>
      <c r="G350" s="289"/>
      <c r="H350" s="289"/>
      <c r="I350" s="290" t="s">
        <v>205</v>
      </c>
      <c r="J350" s="290"/>
      <c r="K350" s="290"/>
      <c r="L350" s="47">
        <v>33</v>
      </c>
      <c r="M350" s="262">
        <v>1340.1000000000001</v>
      </c>
      <c r="N350" s="47">
        <v>100</v>
      </c>
      <c r="O350" s="291">
        <v>267.35000000000002</v>
      </c>
      <c r="P350" s="291"/>
      <c r="Q350" s="291"/>
      <c r="R350" s="262">
        <v>40.61</v>
      </c>
      <c r="S350" s="262">
        <v>307.95999999999998</v>
      </c>
      <c r="U350" s="149">
        <f t="shared" si="24"/>
        <v>52374</v>
      </c>
      <c r="V350" s="146">
        <f t="shared" si="25"/>
        <v>7.583333333333333</v>
      </c>
      <c r="W350" s="150">
        <f t="shared" si="26"/>
        <v>25.416666666666668</v>
      </c>
      <c r="X350" s="146">
        <f t="shared" si="28"/>
        <v>25.416666666666668</v>
      </c>
    </row>
    <row r="351" spans="1:24" ht="9.75" customHeight="1" x14ac:dyDescent="0.25">
      <c r="A351" s="288">
        <v>839</v>
      </c>
      <c r="B351" s="288"/>
      <c r="D351" s="258" t="s">
        <v>64</v>
      </c>
      <c r="E351" s="289">
        <v>40359</v>
      </c>
      <c r="F351" s="289"/>
      <c r="G351" s="289"/>
      <c r="H351" s="289"/>
      <c r="I351" s="290" t="s">
        <v>205</v>
      </c>
      <c r="J351" s="290"/>
      <c r="K351" s="290"/>
      <c r="L351" s="47">
        <v>33</v>
      </c>
      <c r="M351" s="262">
        <v>1931.5</v>
      </c>
      <c r="N351" s="47">
        <v>100</v>
      </c>
      <c r="O351" s="291">
        <v>380.45</v>
      </c>
      <c r="P351" s="291"/>
      <c r="Q351" s="291"/>
      <c r="R351" s="262">
        <v>58.53</v>
      </c>
      <c r="S351" s="262">
        <v>438.98</v>
      </c>
      <c r="U351" s="149">
        <f t="shared" si="24"/>
        <v>52404</v>
      </c>
      <c r="V351" s="146">
        <f t="shared" si="25"/>
        <v>7.5</v>
      </c>
      <c r="W351" s="150">
        <f t="shared" si="26"/>
        <v>25.5</v>
      </c>
      <c r="X351" s="146">
        <f t="shared" si="28"/>
        <v>25.5</v>
      </c>
    </row>
    <row r="352" spans="1:24" ht="9.75" customHeight="1" x14ac:dyDescent="0.25">
      <c r="A352" s="288">
        <v>842</v>
      </c>
      <c r="B352" s="288"/>
      <c r="D352" s="258" t="s">
        <v>64</v>
      </c>
      <c r="E352" s="289">
        <v>40390</v>
      </c>
      <c r="F352" s="289"/>
      <c r="G352" s="289"/>
      <c r="H352" s="289"/>
      <c r="I352" s="290" t="s">
        <v>205</v>
      </c>
      <c r="J352" s="290"/>
      <c r="K352" s="290"/>
      <c r="L352" s="47">
        <v>33</v>
      </c>
      <c r="M352" s="262">
        <v>4028.86</v>
      </c>
      <c r="N352" s="47">
        <v>100</v>
      </c>
      <c r="O352" s="291">
        <v>783.41</v>
      </c>
      <c r="P352" s="291"/>
      <c r="Q352" s="291"/>
      <c r="R352" s="262">
        <v>122.09</v>
      </c>
      <c r="S352" s="262">
        <v>905.5</v>
      </c>
      <c r="U352" s="149">
        <f t="shared" si="24"/>
        <v>52435</v>
      </c>
      <c r="V352" s="146">
        <f t="shared" si="25"/>
        <v>7.416666666666667</v>
      </c>
      <c r="W352" s="150">
        <f t="shared" si="26"/>
        <v>25.583333333333332</v>
      </c>
      <c r="X352" s="146">
        <f t="shared" si="28"/>
        <v>25.583333333333332</v>
      </c>
    </row>
    <row r="353" spans="1:24" ht="9.75" customHeight="1" x14ac:dyDescent="0.25">
      <c r="A353" s="288">
        <v>846</v>
      </c>
      <c r="B353" s="288"/>
      <c r="D353" s="258" t="s">
        <v>64</v>
      </c>
      <c r="E353" s="289">
        <v>40421</v>
      </c>
      <c r="F353" s="289"/>
      <c r="G353" s="289"/>
      <c r="H353" s="289"/>
      <c r="I353" s="290" t="s">
        <v>205</v>
      </c>
      <c r="J353" s="290"/>
      <c r="K353" s="290"/>
      <c r="L353" s="47">
        <v>33</v>
      </c>
      <c r="M353" s="262">
        <v>3916.58</v>
      </c>
      <c r="N353" s="47">
        <v>100</v>
      </c>
      <c r="O353" s="291">
        <v>751.64</v>
      </c>
      <c r="P353" s="291"/>
      <c r="Q353" s="291"/>
      <c r="R353" s="262">
        <v>118.68</v>
      </c>
      <c r="S353" s="262">
        <v>870.32</v>
      </c>
      <c r="U353" s="149">
        <f t="shared" si="24"/>
        <v>52466</v>
      </c>
      <c r="V353" s="146">
        <f t="shared" si="25"/>
        <v>7.333333333333333</v>
      </c>
      <c r="W353" s="150">
        <f t="shared" si="26"/>
        <v>25.666666666666668</v>
      </c>
      <c r="X353" s="146">
        <f t="shared" si="28"/>
        <v>25.666666666666668</v>
      </c>
    </row>
    <row r="354" spans="1:24" ht="9.75" customHeight="1" x14ac:dyDescent="0.25">
      <c r="A354" s="288">
        <v>849</v>
      </c>
      <c r="B354" s="288"/>
      <c r="D354" s="258" t="s">
        <v>64</v>
      </c>
      <c r="E354" s="289">
        <v>40451</v>
      </c>
      <c r="F354" s="289"/>
      <c r="G354" s="289"/>
      <c r="H354" s="289"/>
      <c r="I354" s="290" t="s">
        <v>205</v>
      </c>
      <c r="J354" s="290"/>
      <c r="K354" s="290"/>
      <c r="L354" s="47">
        <v>33</v>
      </c>
      <c r="M354" s="262">
        <v>3564</v>
      </c>
      <c r="N354" s="47">
        <v>100</v>
      </c>
      <c r="O354" s="291">
        <v>675</v>
      </c>
      <c r="P354" s="291"/>
      <c r="Q354" s="291"/>
      <c r="R354" s="262">
        <v>108</v>
      </c>
      <c r="S354" s="262">
        <v>783</v>
      </c>
      <c r="U354" s="149">
        <f t="shared" si="24"/>
        <v>52496</v>
      </c>
      <c r="V354" s="146">
        <f t="shared" si="25"/>
        <v>7.25</v>
      </c>
      <c r="W354" s="150">
        <f t="shared" si="26"/>
        <v>25.75</v>
      </c>
      <c r="X354" s="146">
        <f t="shared" si="28"/>
        <v>25.75</v>
      </c>
    </row>
    <row r="355" spans="1:24" ht="9.75" customHeight="1" x14ac:dyDescent="0.25">
      <c r="A355" s="288">
        <v>853</v>
      </c>
      <c r="B355" s="288"/>
      <c r="D355" s="258" t="s">
        <v>292</v>
      </c>
      <c r="E355" s="289">
        <v>40482</v>
      </c>
      <c r="F355" s="289"/>
      <c r="G355" s="289"/>
      <c r="H355" s="289"/>
      <c r="I355" s="290" t="s">
        <v>205</v>
      </c>
      <c r="J355" s="290"/>
      <c r="K355" s="290"/>
      <c r="L355" s="47">
        <v>33</v>
      </c>
      <c r="M355" s="262">
        <v>46465.46</v>
      </c>
      <c r="N355" s="47">
        <v>100</v>
      </c>
      <c r="O355" s="291">
        <v>8682.91</v>
      </c>
      <c r="P355" s="291"/>
      <c r="Q355" s="291"/>
      <c r="R355" s="262">
        <v>1408.04</v>
      </c>
      <c r="S355" s="262">
        <v>10090.950000000001</v>
      </c>
      <c r="U355" s="149">
        <f t="shared" si="24"/>
        <v>52527</v>
      </c>
      <c r="V355" s="146">
        <f t="shared" si="25"/>
        <v>7.166666666666667</v>
      </c>
      <c r="W355" s="150">
        <f t="shared" si="26"/>
        <v>25.833333333333332</v>
      </c>
      <c r="X355" s="146">
        <f t="shared" si="28"/>
        <v>25.833333333333332</v>
      </c>
    </row>
    <row r="356" spans="1:24" ht="9.75" customHeight="1" x14ac:dyDescent="0.25">
      <c r="A356" s="288">
        <v>857</v>
      </c>
      <c r="B356" s="288"/>
      <c r="D356" s="258" t="s">
        <v>292</v>
      </c>
      <c r="E356" s="289">
        <v>40512</v>
      </c>
      <c r="F356" s="289"/>
      <c r="G356" s="289"/>
      <c r="H356" s="289"/>
      <c r="I356" s="290" t="s">
        <v>205</v>
      </c>
      <c r="J356" s="290"/>
      <c r="K356" s="290"/>
      <c r="L356" s="47">
        <v>33</v>
      </c>
      <c r="M356" s="262">
        <v>2454.3000000000002</v>
      </c>
      <c r="N356" s="47">
        <v>100</v>
      </c>
      <c r="O356" s="291">
        <v>452.42</v>
      </c>
      <c r="P356" s="291"/>
      <c r="Q356" s="291"/>
      <c r="R356" s="262">
        <v>74.37</v>
      </c>
      <c r="S356" s="262">
        <v>526.79</v>
      </c>
      <c r="U356" s="149">
        <f t="shared" si="24"/>
        <v>52557</v>
      </c>
      <c r="V356" s="146">
        <f t="shared" si="25"/>
        <v>7.083333333333333</v>
      </c>
      <c r="W356" s="150">
        <f t="shared" si="26"/>
        <v>25.916666666666668</v>
      </c>
      <c r="X356" s="146">
        <f t="shared" si="28"/>
        <v>25.916666666666668</v>
      </c>
    </row>
    <row r="357" spans="1:24" ht="9.75" customHeight="1" x14ac:dyDescent="0.25">
      <c r="A357" s="288">
        <v>859</v>
      </c>
      <c r="B357" s="288"/>
      <c r="D357" s="258" t="s">
        <v>293</v>
      </c>
      <c r="E357" s="289">
        <v>40494</v>
      </c>
      <c r="F357" s="289"/>
      <c r="G357" s="289"/>
      <c r="H357" s="289"/>
      <c r="I357" s="290" t="s">
        <v>205</v>
      </c>
      <c r="J357" s="290"/>
      <c r="K357" s="290"/>
      <c r="L357" s="47">
        <v>33</v>
      </c>
      <c r="M357" s="262">
        <v>11096.2</v>
      </c>
      <c r="N357" s="47">
        <v>100</v>
      </c>
      <c r="O357" s="291">
        <v>2073.54</v>
      </c>
      <c r="P357" s="291"/>
      <c r="Q357" s="291"/>
      <c r="R357" s="262">
        <v>336.25</v>
      </c>
      <c r="S357" s="262">
        <v>2409.79</v>
      </c>
      <c r="U357" s="149">
        <f t="shared" si="24"/>
        <v>52539</v>
      </c>
      <c r="V357" s="146">
        <f t="shared" si="25"/>
        <v>7.1361111111111111</v>
      </c>
      <c r="W357" s="150">
        <f t="shared" si="26"/>
        <v>25.863888888888887</v>
      </c>
      <c r="X357" s="146">
        <f t="shared" si="28"/>
        <v>25.863888888888887</v>
      </c>
    </row>
    <row r="358" spans="1:24" ht="9.75" customHeight="1" x14ac:dyDescent="0.25">
      <c r="A358" s="288">
        <v>860</v>
      </c>
      <c r="B358" s="288"/>
      <c r="D358" s="258" t="s">
        <v>294</v>
      </c>
      <c r="E358" s="289">
        <v>40491</v>
      </c>
      <c r="F358" s="289"/>
      <c r="G358" s="289"/>
      <c r="H358" s="289"/>
      <c r="I358" s="290" t="s">
        <v>205</v>
      </c>
      <c r="J358" s="290"/>
      <c r="K358" s="290"/>
      <c r="L358" s="47">
        <v>33</v>
      </c>
      <c r="M358" s="262">
        <v>720</v>
      </c>
      <c r="N358" s="47">
        <v>100</v>
      </c>
      <c r="O358" s="291">
        <v>134.56</v>
      </c>
      <c r="P358" s="291"/>
      <c r="Q358" s="291"/>
      <c r="R358" s="262">
        <v>21.82</v>
      </c>
      <c r="S358" s="262">
        <v>156.38</v>
      </c>
      <c r="U358" s="149">
        <f t="shared" ref="U358:U421" si="29">E358+(L358*365)</f>
        <v>52536</v>
      </c>
      <c r="V358" s="146">
        <f t="shared" ref="V358:V421" si="30">YEARFRAC(E358,$V$14)</f>
        <v>7.1444444444444448</v>
      </c>
      <c r="W358" s="150">
        <f t="shared" ref="W358:W421" si="31">IF(V358&gt;L358,0,L358-V358)</f>
        <v>25.855555555555554</v>
      </c>
      <c r="X358" s="146">
        <f t="shared" si="28"/>
        <v>25.855555555555554</v>
      </c>
    </row>
    <row r="359" spans="1:24" ht="9.75" customHeight="1" x14ac:dyDescent="0.25">
      <c r="A359" s="288">
        <v>861</v>
      </c>
      <c r="B359" s="288"/>
      <c r="D359" s="258" t="s">
        <v>295</v>
      </c>
      <c r="E359" s="289">
        <v>40491</v>
      </c>
      <c r="F359" s="289"/>
      <c r="G359" s="289"/>
      <c r="H359" s="289"/>
      <c r="I359" s="290" t="s">
        <v>205</v>
      </c>
      <c r="J359" s="290"/>
      <c r="K359" s="290"/>
      <c r="L359" s="47">
        <v>33</v>
      </c>
      <c r="M359" s="262">
        <v>330</v>
      </c>
      <c r="N359" s="47">
        <v>100</v>
      </c>
      <c r="O359" s="291">
        <v>61.67</v>
      </c>
      <c r="P359" s="291"/>
      <c r="Q359" s="291"/>
      <c r="R359" s="262">
        <v>10</v>
      </c>
      <c r="S359" s="262">
        <v>71.67</v>
      </c>
      <c r="U359" s="149">
        <f t="shared" si="29"/>
        <v>52536</v>
      </c>
      <c r="V359" s="146">
        <f t="shared" si="30"/>
        <v>7.1444444444444448</v>
      </c>
      <c r="W359" s="150">
        <f t="shared" si="31"/>
        <v>25.855555555555554</v>
      </c>
      <c r="X359" s="146">
        <f t="shared" si="28"/>
        <v>25.855555555555554</v>
      </c>
    </row>
    <row r="360" spans="1:24" ht="9.75" customHeight="1" x14ac:dyDescent="0.25">
      <c r="A360" s="288">
        <v>867</v>
      </c>
      <c r="B360" s="288"/>
      <c r="D360" s="258" t="s">
        <v>293</v>
      </c>
      <c r="E360" s="289">
        <v>40519</v>
      </c>
      <c r="F360" s="289"/>
      <c r="G360" s="289"/>
      <c r="H360" s="289"/>
      <c r="I360" s="290" t="s">
        <v>205</v>
      </c>
      <c r="J360" s="290"/>
      <c r="K360" s="290"/>
      <c r="L360" s="47">
        <v>33</v>
      </c>
      <c r="M360" s="262">
        <v>169625</v>
      </c>
      <c r="N360" s="47">
        <v>100</v>
      </c>
      <c r="O360" s="291">
        <v>31269.25</v>
      </c>
      <c r="P360" s="291"/>
      <c r="Q360" s="291"/>
      <c r="R360" s="262">
        <v>5140.1499999999996</v>
      </c>
      <c r="S360" s="262">
        <v>36409.4</v>
      </c>
      <c r="U360" s="149">
        <f t="shared" si="29"/>
        <v>52564</v>
      </c>
      <c r="V360" s="146">
        <f t="shared" si="30"/>
        <v>7.0666666666666664</v>
      </c>
      <c r="W360" s="150">
        <f t="shared" si="31"/>
        <v>25.933333333333334</v>
      </c>
      <c r="X360" s="146">
        <f t="shared" si="28"/>
        <v>25.933333333333334</v>
      </c>
    </row>
    <row r="361" spans="1:24" ht="9.75" customHeight="1" x14ac:dyDescent="0.25">
      <c r="A361" s="288">
        <v>868</v>
      </c>
      <c r="B361" s="288"/>
      <c r="D361" s="258" t="s">
        <v>296</v>
      </c>
      <c r="E361" s="289">
        <v>40520</v>
      </c>
      <c r="F361" s="289"/>
      <c r="G361" s="289"/>
      <c r="H361" s="289"/>
      <c r="I361" s="290" t="s">
        <v>205</v>
      </c>
      <c r="J361" s="290"/>
      <c r="K361" s="290"/>
      <c r="L361" s="47">
        <v>33</v>
      </c>
      <c r="M361" s="262">
        <v>888</v>
      </c>
      <c r="N361" s="47">
        <v>100</v>
      </c>
      <c r="O361" s="291">
        <v>163.69999999999999</v>
      </c>
      <c r="P361" s="291"/>
      <c r="Q361" s="291"/>
      <c r="R361" s="262">
        <v>26.91</v>
      </c>
      <c r="S361" s="262">
        <v>190.61</v>
      </c>
      <c r="U361" s="149">
        <f t="shared" si="29"/>
        <v>52565</v>
      </c>
      <c r="V361" s="146">
        <f t="shared" si="30"/>
        <v>7.0638888888888891</v>
      </c>
      <c r="W361" s="150">
        <f t="shared" si="31"/>
        <v>25.93611111111111</v>
      </c>
      <c r="X361" s="146">
        <f t="shared" si="28"/>
        <v>25.93611111111111</v>
      </c>
    </row>
    <row r="362" spans="1:24" ht="9.75" customHeight="1" x14ac:dyDescent="0.25">
      <c r="A362" s="288">
        <v>869</v>
      </c>
      <c r="B362" s="288"/>
      <c r="D362" s="258" t="s">
        <v>297</v>
      </c>
      <c r="E362" s="289">
        <v>40540</v>
      </c>
      <c r="F362" s="289"/>
      <c r="G362" s="289"/>
      <c r="H362" s="289"/>
      <c r="I362" s="290" t="s">
        <v>205</v>
      </c>
      <c r="J362" s="290"/>
      <c r="K362" s="290"/>
      <c r="L362" s="47">
        <v>33</v>
      </c>
      <c r="M362" s="262">
        <v>375</v>
      </c>
      <c r="N362" s="47">
        <v>100</v>
      </c>
      <c r="O362" s="291">
        <v>68.16</v>
      </c>
      <c r="P362" s="291"/>
      <c r="Q362" s="291"/>
      <c r="R362" s="262">
        <v>11.36</v>
      </c>
      <c r="S362" s="262">
        <v>79.52</v>
      </c>
      <c r="U362" s="149">
        <f t="shared" si="29"/>
        <v>52585</v>
      </c>
      <c r="V362" s="146">
        <f t="shared" si="30"/>
        <v>7.0083333333333337</v>
      </c>
      <c r="W362" s="150">
        <f t="shared" si="31"/>
        <v>25.991666666666667</v>
      </c>
      <c r="X362" s="146">
        <f t="shared" si="28"/>
        <v>25.991666666666667</v>
      </c>
    </row>
    <row r="363" spans="1:24" ht="9.75" customHeight="1" x14ac:dyDescent="0.25">
      <c r="A363" s="288">
        <v>870</v>
      </c>
      <c r="B363" s="288"/>
      <c r="D363" s="258" t="s">
        <v>298</v>
      </c>
      <c r="E363" s="289">
        <v>40540</v>
      </c>
      <c r="F363" s="289"/>
      <c r="G363" s="289"/>
      <c r="H363" s="289"/>
      <c r="I363" s="290" t="s">
        <v>205</v>
      </c>
      <c r="J363" s="290"/>
      <c r="K363" s="290"/>
      <c r="L363" s="47">
        <v>33</v>
      </c>
      <c r="M363" s="262">
        <v>88.22</v>
      </c>
      <c r="N363" s="47">
        <v>100</v>
      </c>
      <c r="O363" s="291">
        <v>16.02</v>
      </c>
      <c r="P363" s="291"/>
      <c r="Q363" s="291"/>
      <c r="R363" s="262">
        <v>2.67</v>
      </c>
      <c r="S363" s="262">
        <v>18.690000000000001</v>
      </c>
      <c r="U363" s="149">
        <f t="shared" si="29"/>
        <v>52585</v>
      </c>
      <c r="V363" s="146">
        <f t="shared" si="30"/>
        <v>7.0083333333333337</v>
      </c>
      <c r="W363" s="150">
        <f t="shared" si="31"/>
        <v>25.991666666666667</v>
      </c>
      <c r="X363" s="146">
        <f t="shared" si="28"/>
        <v>25.991666666666667</v>
      </c>
    </row>
    <row r="364" spans="1:24" ht="9.75" customHeight="1" x14ac:dyDescent="0.25">
      <c r="A364" s="288">
        <v>872</v>
      </c>
      <c r="B364" s="288"/>
      <c r="D364" s="258" t="s">
        <v>64</v>
      </c>
      <c r="E364" s="289">
        <v>40543</v>
      </c>
      <c r="F364" s="289"/>
      <c r="G364" s="289"/>
      <c r="H364" s="289"/>
      <c r="I364" s="290" t="s">
        <v>205</v>
      </c>
      <c r="J364" s="290"/>
      <c r="K364" s="290"/>
      <c r="L364" s="47">
        <v>33</v>
      </c>
      <c r="M364" s="262">
        <v>1119.3800000000001</v>
      </c>
      <c r="N364" s="47">
        <v>100</v>
      </c>
      <c r="O364" s="291">
        <v>203.52</v>
      </c>
      <c r="P364" s="291"/>
      <c r="Q364" s="291"/>
      <c r="R364" s="262">
        <v>33.92</v>
      </c>
      <c r="S364" s="262">
        <v>237.44</v>
      </c>
      <c r="U364" s="149">
        <f t="shared" si="29"/>
        <v>52588</v>
      </c>
      <c r="V364" s="146">
        <f t="shared" si="30"/>
        <v>7</v>
      </c>
      <c r="W364" s="150">
        <f t="shared" si="31"/>
        <v>26</v>
      </c>
      <c r="X364" s="146">
        <f t="shared" si="28"/>
        <v>26</v>
      </c>
    </row>
    <row r="365" spans="1:24" ht="9.75" customHeight="1" x14ac:dyDescent="0.25">
      <c r="A365" s="288">
        <v>877</v>
      </c>
      <c r="B365" s="288"/>
      <c r="D365" s="258" t="s">
        <v>299</v>
      </c>
      <c r="E365" s="289">
        <v>40543</v>
      </c>
      <c r="F365" s="289"/>
      <c r="G365" s="289"/>
      <c r="H365" s="289"/>
      <c r="I365" s="290" t="s">
        <v>258</v>
      </c>
      <c r="J365" s="290"/>
      <c r="K365" s="290"/>
      <c r="L365" s="47">
        <v>33</v>
      </c>
      <c r="M365" s="262">
        <v>12210.960000000001</v>
      </c>
      <c r="N365" s="47">
        <v>100</v>
      </c>
      <c r="O365" s="291">
        <v>12210.960000000001</v>
      </c>
      <c r="P365" s="291"/>
      <c r="Q365" s="291"/>
      <c r="R365" s="262">
        <v>0</v>
      </c>
      <c r="S365" s="262">
        <v>12210.960000000001</v>
      </c>
      <c r="U365" s="149">
        <f t="shared" si="29"/>
        <v>52588</v>
      </c>
      <c r="V365" s="146">
        <f t="shared" si="30"/>
        <v>7</v>
      </c>
      <c r="W365" s="150">
        <f t="shared" si="31"/>
        <v>26</v>
      </c>
      <c r="X365" s="146">
        <f t="shared" si="28"/>
        <v>26</v>
      </c>
    </row>
    <row r="366" spans="1:24" ht="9.75" customHeight="1" x14ac:dyDescent="0.25">
      <c r="A366" s="288">
        <v>881</v>
      </c>
      <c r="B366" s="288"/>
      <c r="D366" s="258" t="s">
        <v>64</v>
      </c>
      <c r="E366" s="289">
        <v>40574</v>
      </c>
      <c r="F366" s="289"/>
      <c r="G366" s="289"/>
      <c r="H366" s="289"/>
      <c r="I366" s="290" t="s">
        <v>205</v>
      </c>
      <c r="J366" s="290"/>
      <c r="K366" s="290"/>
      <c r="L366" s="47">
        <v>33</v>
      </c>
      <c r="M366" s="262">
        <v>1998.29</v>
      </c>
      <c r="N366" s="47">
        <v>100</v>
      </c>
      <c r="O366" s="291">
        <v>358.25</v>
      </c>
      <c r="P366" s="291"/>
      <c r="Q366" s="291"/>
      <c r="R366" s="262">
        <v>60.550000000000004</v>
      </c>
      <c r="S366" s="262">
        <v>418.8</v>
      </c>
      <c r="U366" s="149">
        <f t="shared" si="29"/>
        <v>52619</v>
      </c>
      <c r="V366" s="146">
        <f t="shared" si="30"/>
        <v>6.916666666666667</v>
      </c>
      <c r="W366" s="150">
        <f t="shared" si="31"/>
        <v>26.083333333333332</v>
      </c>
      <c r="X366" s="146">
        <f t="shared" ref="X366:X397" si="32">IF(W366=0,0,W366)</f>
        <v>26.083333333333332</v>
      </c>
    </row>
    <row r="367" spans="1:24" ht="9.75" customHeight="1" x14ac:dyDescent="0.25">
      <c r="A367" s="288">
        <v>885</v>
      </c>
      <c r="B367" s="288"/>
      <c r="D367" s="258" t="s">
        <v>292</v>
      </c>
      <c r="E367" s="289">
        <v>40602</v>
      </c>
      <c r="F367" s="289"/>
      <c r="G367" s="289"/>
      <c r="H367" s="289"/>
      <c r="I367" s="290" t="s">
        <v>205</v>
      </c>
      <c r="J367" s="290"/>
      <c r="K367" s="290"/>
      <c r="L367" s="47">
        <v>33</v>
      </c>
      <c r="M367" s="262">
        <v>3073.53</v>
      </c>
      <c r="N367" s="47">
        <v>100</v>
      </c>
      <c r="O367" s="291">
        <v>543.32000000000005</v>
      </c>
      <c r="P367" s="291"/>
      <c r="Q367" s="291"/>
      <c r="R367" s="262">
        <v>93.14</v>
      </c>
      <c r="S367" s="262">
        <v>636.46</v>
      </c>
      <c r="U367" s="149">
        <f t="shared" si="29"/>
        <v>52647</v>
      </c>
      <c r="V367" s="146">
        <f t="shared" si="30"/>
        <v>6.8361111111111112</v>
      </c>
      <c r="W367" s="150">
        <f t="shared" si="31"/>
        <v>26.163888888888888</v>
      </c>
      <c r="X367" s="146">
        <f t="shared" si="32"/>
        <v>26.163888888888888</v>
      </c>
    </row>
    <row r="368" spans="1:24" ht="9.75" customHeight="1" x14ac:dyDescent="0.25">
      <c r="A368" s="288">
        <v>889</v>
      </c>
      <c r="B368" s="288"/>
      <c r="D368" s="258" t="s">
        <v>292</v>
      </c>
      <c r="E368" s="289">
        <v>40633</v>
      </c>
      <c r="F368" s="289"/>
      <c r="G368" s="289"/>
      <c r="H368" s="289"/>
      <c r="I368" s="290" t="s">
        <v>205</v>
      </c>
      <c r="J368" s="290"/>
      <c r="K368" s="290"/>
      <c r="L368" s="47">
        <v>33</v>
      </c>
      <c r="M368" s="262">
        <v>1060.49</v>
      </c>
      <c r="N368" s="47">
        <v>100</v>
      </c>
      <c r="O368" s="291">
        <v>184.81</v>
      </c>
      <c r="P368" s="291"/>
      <c r="Q368" s="291"/>
      <c r="R368" s="262">
        <v>32.14</v>
      </c>
      <c r="S368" s="262">
        <v>216.95000000000002</v>
      </c>
      <c r="U368" s="149">
        <f t="shared" si="29"/>
        <v>52678</v>
      </c>
      <c r="V368" s="146">
        <f t="shared" si="30"/>
        <v>6.75</v>
      </c>
      <c r="W368" s="150">
        <f t="shared" si="31"/>
        <v>26.25</v>
      </c>
      <c r="X368" s="146">
        <f t="shared" si="32"/>
        <v>26.25</v>
      </c>
    </row>
    <row r="369" spans="1:24" ht="9.75" customHeight="1" x14ac:dyDescent="0.25">
      <c r="A369" s="288">
        <v>893</v>
      </c>
      <c r="B369" s="288"/>
      <c r="D369" s="258" t="s">
        <v>292</v>
      </c>
      <c r="E369" s="289">
        <v>40663</v>
      </c>
      <c r="F369" s="289"/>
      <c r="G369" s="289"/>
      <c r="H369" s="289"/>
      <c r="I369" s="290" t="s">
        <v>205</v>
      </c>
      <c r="J369" s="290"/>
      <c r="K369" s="290"/>
      <c r="L369" s="47">
        <v>33</v>
      </c>
      <c r="M369" s="262">
        <v>2308.5100000000002</v>
      </c>
      <c r="N369" s="47">
        <v>100</v>
      </c>
      <c r="O369" s="291">
        <v>396.38</v>
      </c>
      <c r="P369" s="291"/>
      <c r="Q369" s="291"/>
      <c r="R369" s="262">
        <v>69.95</v>
      </c>
      <c r="S369" s="262">
        <v>466.33</v>
      </c>
      <c r="U369" s="149">
        <f t="shared" si="29"/>
        <v>52708</v>
      </c>
      <c r="V369" s="146">
        <f t="shared" si="30"/>
        <v>6.666666666666667</v>
      </c>
      <c r="W369" s="150">
        <f t="shared" si="31"/>
        <v>26.333333333333332</v>
      </c>
      <c r="X369" s="146">
        <f t="shared" si="32"/>
        <v>26.333333333333332</v>
      </c>
    </row>
    <row r="370" spans="1:24" ht="9.75" customHeight="1" x14ac:dyDescent="0.25">
      <c r="A370" s="288">
        <v>899</v>
      </c>
      <c r="B370" s="288"/>
      <c r="D370" s="258" t="s">
        <v>292</v>
      </c>
      <c r="E370" s="289">
        <v>40694</v>
      </c>
      <c r="F370" s="289"/>
      <c r="G370" s="289"/>
      <c r="H370" s="289"/>
      <c r="I370" s="290" t="s">
        <v>205</v>
      </c>
      <c r="J370" s="290"/>
      <c r="K370" s="290"/>
      <c r="L370" s="47">
        <v>33</v>
      </c>
      <c r="M370" s="262">
        <v>2278.56</v>
      </c>
      <c r="N370" s="47">
        <v>100</v>
      </c>
      <c r="O370" s="291">
        <v>385.53000000000003</v>
      </c>
      <c r="P370" s="291"/>
      <c r="Q370" s="291"/>
      <c r="R370" s="262">
        <v>69.05</v>
      </c>
      <c r="S370" s="262">
        <v>454.58</v>
      </c>
      <c r="U370" s="149">
        <f t="shared" si="29"/>
        <v>52739</v>
      </c>
      <c r="V370" s="146">
        <f t="shared" si="30"/>
        <v>6.583333333333333</v>
      </c>
      <c r="W370" s="150">
        <f t="shared" si="31"/>
        <v>26.416666666666668</v>
      </c>
      <c r="X370" s="146">
        <f t="shared" si="32"/>
        <v>26.416666666666668</v>
      </c>
    </row>
    <row r="371" spans="1:24" ht="9.75" customHeight="1" x14ac:dyDescent="0.25">
      <c r="A371" s="288">
        <v>902</v>
      </c>
      <c r="B371" s="288"/>
      <c r="D371" s="258" t="s">
        <v>292</v>
      </c>
      <c r="E371" s="289">
        <v>40724</v>
      </c>
      <c r="F371" s="289"/>
      <c r="G371" s="289"/>
      <c r="H371" s="289"/>
      <c r="I371" s="290" t="s">
        <v>205</v>
      </c>
      <c r="J371" s="290"/>
      <c r="K371" s="290"/>
      <c r="L371" s="47">
        <v>33</v>
      </c>
      <c r="M371" s="262">
        <v>2297.4699999999998</v>
      </c>
      <c r="N371" s="47">
        <v>100</v>
      </c>
      <c r="O371" s="291">
        <v>382.91</v>
      </c>
      <c r="P371" s="291"/>
      <c r="Q371" s="291"/>
      <c r="R371" s="262">
        <v>69.62</v>
      </c>
      <c r="S371" s="262">
        <v>452.53000000000003</v>
      </c>
      <c r="U371" s="149">
        <f t="shared" si="29"/>
        <v>52769</v>
      </c>
      <c r="V371" s="146">
        <f t="shared" si="30"/>
        <v>6.5</v>
      </c>
      <c r="W371" s="150">
        <f t="shared" si="31"/>
        <v>26.5</v>
      </c>
      <c r="X371" s="146">
        <f t="shared" si="32"/>
        <v>26.5</v>
      </c>
    </row>
    <row r="372" spans="1:24" ht="9.75" customHeight="1" x14ac:dyDescent="0.25">
      <c r="A372" s="288">
        <v>906</v>
      </c>
      <c r="B372" s="288"/>
      <c r="D372" s="258" t="s">
        <v>292</v>
      </c>
      <c r="E372" s="289">
        <v>40755</v>
      </c>
      <c r="F372" s="289"/>
      <c r="G372" s="289"/>
      <c r="H372" s="289"/>
      <c r="I372" s="290" t="s">
        <v>205</v>
      </c>
      <c r="J372" s="290"/>
      <c r="K372" s="290"/>
      <c r="L372" s="47">
        <v>33</v>
      </c>
      <c r="M372" s="262">
        <v>832.05000000000007</v>
      </c>
      <c r="N372" s="47">
        <v>100</v>
      </c>
      <c r="O372" s="291">
        <v>136.55000000000001</v>
      </c>
      <c r="P372" s="291"/>
      <c r="Q372" s="291"/>
      <c r="R372" s="262">
        <v>25.21</v>
      </c>
      <c r="S372" s="262">
        <v>161.76</v>
      </c>
      <c r="U372" s="149">
        <f t="shared" si="29"/>
        <v>52800</v>
      </c>
      <c r="V372" s="146">
        <f t="shared" si="30"/>
        <v>6.416666666666667</v>
      </c>
      <c r="W372" s="150">
        <f t="shared" si="31"/>
        <v>26.583333333333332</v>
      </c>
      <c r="X372" s="146">
        <f t="shared" si="32"/>
        <v>26.583333333333332</v>
      </c>
    </row>
    <row r="373" spans="1:24" ht="9.75" customHeight="1" x14ac:dyDescent="0.25">
      <c r="A373" s="288">
        <v>911</v>
      </c>
      <c r="B373" s="288"/>
      <c r="D373" s="258" t="s">
        <v>292</v>
      </c>
      <c r="E373" s="289">
        <v>40786</v>
      </c>
      <c r="F373" s="289"/>
      <c r="G373" s="289"/>
      <c r="H373" s="289"/>
      <c r="I373" s="290" t="s">
        <v>205</v>
      </c>
      <c r="J373" s="290"/>
      <c r="K373" s="290"/>
      <c r="L373" s="47">
        <v>33</v>
      </c>
      <c r="M373" s="262">
        <v>796.5</v>
      </c>
      <c r="N373" s="47">
        <v>100</v>
      </c>
      <c r="O373" s="291">
        <v>128.75</v>
      </c>
      <c r="P373" s="291"/>
      <c r="Q373" s="291"/>
      <c r="R373" s="262">
        <v>24.14</v>
      </c>
      <c r="S373" s="262">
        <v>152.88999999999999</v>
      </c>
      <c r="U373" s="149">
        <f t="shared" si="29"/>
        <v>52831</v>
      </c>
      <c r="V373" s="146">
        <f t="shared" si="30"/>
        <v>6.333333333333333</v>
      </c>
      <c r="W373" s="150">
        <f t="shared" si="31"/>
        <v>26.666666666666668</v>
      </c>
      <c r="X373" s="146">
        <f t="shared" si="32"/>
        <v>26.666666666666668</v>
      </c>
    </row>
    <row r="374" spans="1:24" ht="9.75" customHeight="1" x14ac:dyDescent="0.25">
      <c r="A374" s="288">
        <v>914</v>
      </c>
      <c r="B374" s="288"/>
      <c r="D374" s="258" t="s">
        <v>298</v>
      </c>
      <c r="E374" s="289">
        <v>40800</v>
      </c>
      <c r="F374" s="289"/>
      <c r="G374" s="289"/>
      <c r="H374" s="289"/>
      <c r="I374" s="290" t="s">
        <v>205</v>
      </c>
      <c r="J374" s="290"/>
      <c r="K374" s="290"/>
      <c r="L374" s="47">
        <v>33</v>
      </c>
      <c r="M374" s="262">
        <v>753.32</v>
      </c>
      <c r="N374" s="47">
        <v>100</v>
      </c>
      <c r="O374" s="291">
        <v>121.76</v>
      </c>
      <c r="P374" s="291"/>
      <c r="Q374" s="291"/>
      <c r="R374" s="262">
        <v>22.830000000000002</v>
      </c>
      <c r="S374" s="262">
        <v>144.59</v>
      </c>
      <c r="U374" s="149">
        <f t="shared" si="29"/>
        <v>52845</v>
      </c>
      <c r="V374" s="146">
        <f t="shared" si="30"/>
        <v>6.2972222222222225</v>
      </c>
      <c r="W374" s="150">
        <f t="shared" si="31"/>
        <v>26.702777777777776</v>
      </c>
      <c r="X374" s="146">
        <f t="shared" si="32"/>
        <v>26.702777777777776</v>
      </c>
    </row>
    <row r="375" spans="1:24" ht="9.75" customHeight="1" x14ac:dyDescent="0.25">
      <c r="A375" s="288">
        <v>915</v>
      </c>
      <c r="B375" s="288"/>
      <c r="D375" s="258" t="s">
        <v>300</v>
      </c>
      <c r="E375" s="289">
        <v>40809</v>
      </c>
      <c r="F375" s="289"/>
      <c r="G375" s="289"/>
      <c r="H375" s="289"/>
      <c r="I375" s="290" t="s">
        <v>205</v>
      </c>
      <c r="J375" s="290"/>
      <c r="K375" s="290"/>
      <c r="L375" s="47">
        <v>33</v>
      </c>
      <c r="M375" s="262">
        <v>1500</v>
      </c>
      <c r="N375" s="47">
        <v>100</v>
      </c>
      <c r="O375" s="291">
        <v>238.61</v>
      </c>
      <c r="P375" s="291"/>
      <c r="Q375" s="291"/>
      <c r="R375" s="262">
        <v>45.45</v>
      </c>
      <c r="S375" s="262">
        <v>284.06</v>
      </c>
      <c r="U375" s="149">
        <f t="shared" si="29"/>
        <v>52854</v>
      </c>
      <c r="V375" s="146">
        <f t="shared" si="30"/>
        <v>6.2722222222222221</v>
      </c>
      <c r="W375" s="150">
        <f t="shared" si="31"/>
        <v>26.727777777777778</v>
      </c>
      <c r="X375" s="146">
        <f t="shared" si="32"/>
        <v>26.727777777777778</v>
      </c>
    </row>
    <row r="376" spans="1:24" ht="9.75" customHeight="1" x14ac:dyDescent="0.25">
      <c r="A376" s="288">
        <v>916</v>
      </c>
      <c r="B376" s="288"/>
      <c r="D376" s="258" t="s">
        <v>292</v>
      </c>
      <c r="E376" s="289">
        <v>40816</v>
      </c>
      <c r="F376" s="289"/>
      <c r="G376" s="289"/>
      <c r="H376" s="289"/>
      <c r="I376" s="290" t="s">
        <v>205</v>
      </c>
      <c r="J376" s="290"/>
      <c r="K376" s="290"/>
      <c r="L376" s="47">
        <v>33</v>
      </c>
      <c r="M376" s="262">
        <v>2568.5500000000002</v>
      </c>
      <c r="N376" s="47">
        <v>100</v>
      </c>
      <c r="O376" s="291">
        <v>408.61</v>
      </c>
      <c r="P376" s="291"/>
      <c r="Q376" s="291"/>
      <c r="R376" s="262">
        <v>77.83</v>
      </c>
      <c r="S376" s="262">
        <v>486.44</v>
      </c>
      <c r="U376" s="149">
        <f t="shared" si="29"/>
        <v>52861</v>
      </c>
      <c r="V376" s="146">
        <f t="shared" si="30"/>
        <v>6.25</v>
      </c>
      <c r="W376" s="150">
        <f t="shared" si="31"/>
        <v>26.75</v>
      </c>
      <c r="X376" s="146">
        <f t="shared" si="32"/>
        <v>26.75</v>
      </c>
    </row>
    <row r="377" spans="1:24" ht="9.75" customHeight="1" x14ac:dyDescent="0.25">
      <c r="A377" s="288">
        <v>921</v>
      </c>
      <c r="B377" s="288"/>
      <c r="D377" s="258" t="s">
        <v>292</v>
      </c>
      <c r="E377" s="289">
        <v>40847</v>
      </c>
      <c r="F377" s="289"/>
      <c r="G377" s="289"/>
      <c r="H377" s="289"/>
      <c r="I377" s="290" t="s">
        <v>205</v>
      </c>
      <c r="J377" s="290"/>
      <c r="K377" s="290"/>
      <c r="L377" s="47">
        <v>33</v>
      </c>
      <c r="M377" s="262">
        <v>2738.7400000000002</v>
      </c>
      <c r="N377" s="47">
        <v>100</v>
      </c>
      <c r="O377" s="291">
        <v>428.78000000000003</v>
      </c>
      <c r="P377" s="291"/>
      <c r="Q377" s="291"/>
      <c r="R377" s="262">
        <v>82.99</v>
      </c>
      <c r="S377" s="262">
        <v>511.77000000000004</v>
      </c>
      <c r="U377" s="149">
        <f t="shared" si="29"/>
        <v>52892</v>
      </c>
      <c r="V377" s="146">
        <f t="shared" si="30"/>
        <v>6.166666666666667</v>
      </c>
      <c r="W377" s="150">
        <f t="shared" si="31"/>
        <v>26.833333333333332</v>
      </c>
      <c r="X377" s="146">
        <f t="shared" si="32"/>
        <v>26.833333333333332</v>
      </c>
    </row>
    <row r="378" spans="1:24" ht="9.75" customHeight="1" x14ac:dyDescent="0.25">
      <c r="A378" s="288">
        <v>925</v>
      </c>
      <c r="B378" s="288"/>
      <c r="D378" s="258" t="s">
        <v>292</v>
      </c>
      <c r="E378" s="289">
        <v>40877</v>
      </c>
      <c r="F378" s="289"/>
      <c r="G378" s="289"/>
      <c r="H378" s="289"/>
      <c r="I378" s="290" t="s">
        <v>205</v>
      </c>
      <c r="J378" s="290"/>
      <c r="K378" s="290"/>
      <c r="L378" s="47">
        <v>33</v>
      </c>
      <c r="M378" s="262">
        <v>28938.15</v>
      </c>
      <c r="N378" s="47">
        <v>100</v>
      </c>
      <c r="O378" s="291">
        <v>4457.63</v>
      </c>
      <c r="P378" s="291"/>
      <c r="Q378" s="291"/>
      <c r="R378" s="262">
        <v>876.91</v>
      </c>
      <c r="S378" s="262">
        <v>5334.54</v>
      </c>
      <c r="U378" s="149">
        <f t="shared" si="29"/>
        <v>52922</v>
      </c>
      <c r="V378" s="146">
        <f t="shared" si="30"/>
        <v>6.083333333333333</v>
      </c>
      <c r="W378" s="150">
        <f t="shared" si="31"/>
        <v>26.916666666666668</v>
      </c>
      <c r="X378" s="146">
        <f t="shared" si="32"/>
        <v>26.916666666666668</v>
      </c>
    </row>
    <row r="379" spans="1:24" ht="9.75" customHeight="1" x14ac:dyDescent="0.25">
      <c r="A379" s="288">
        <v>929</v>
      </c>
      <c r="B379" s="288"/>
      <c r="D379" s="258" t="s">
        <v>292</v>
      </c>
      <c r="E379" s="289">
        <v>40908</v>
      </c>
      <c r="F379" s="289"/>
      <c r="G379" s="289"/>
      <c r="H379" s="289"/>
      <c r="I379" s="290" t="s">
        <v>205</v>
      </c>
      <c r="J379" s="290"/>
      <c r="K379" s="290"/>
      <c r="L379" s="47">
        <v>33</v>
      </c>
      <c r="M379" s="262">
        <v>2040.39</v>
      </c>
      <c r="N379" s="47">
        <v>100</v>
      </c>
      <c r="O379" s="291">
        <v>309.14999999999998</v>
      </c>
      <c r="P379" s="291"/>
      <c r="Q379" s="291"/>
      <c r="R379" s="262">
        <v>61.83</v>
      </c>
      <c r="S379" s="262">
        <v>370.98</v>
      </c>
      <c r="U379" s="149">
        <f t="shared" si="29"/>
        <v>52953</v>
      </c>
      <c r="V379" s="146">
        <f t="shared" si="30"/>
        <v>6</v>
      </c>
      <c r="W379" s="150">
        <f t="shared" si="31"/>
        <v>27</v>
      </c>
      <c r="X379" s="146">
        <f t="shared" si="32"/>
        <v>27</v>
      </c>
    </row>
    <row r="380" spans="1:24" ht="9.75" customHeight="1" x14ac:dyDescent="0.25">
      <c r="A380" s="288">
        <v>934</v>
      </c>
      <c r="B380" s="288"/>
      <c r="D380" s="258" t="s">
        <v>292</v>
      </c>
      <c r="E380" s="289">
        <v>40939</v>
      </c>
      <c r="F380" s="289"/>
      <c r="G380" s="289"/>
      <c r="H380" s="289"/>
      <c r="I380" s="290" t="s">
        <v>205</v>
      </c>
      <c r="J380" s="290"/>
      <c r="K380" s="290"/>
      <c r="L380" s="47">
        <v>33</v>
      </c>
      <c r="M380" s="262">
        <v>955.85</v>
      </c>
      <c r="N380" s="47">
        <v>100</v>
      </c>
      <c r="O380" s="291">
        <v>142.44</v>
      </c>
      <c r="P380" s="291"/>
      <c r="Q380" s="291"/>
      <c r="R380" s="262">
        <v>28.97</v>
      </c>
      <c r="S380" s="262">
        <v>171.41</v>
      </c>
      <c r="U380" s="149">
        <f t="shared" si="29"/>
        <v>52984</v>
      </c>
      <c r="V380" s="146">
        <f t="shared" si="30"/>
        <v>5.916666666666667</v>
      </c>
      <c r="W380" s="150">
        <f t="shared" si="31"/>
        <v>27.083333333333332</v>
      </c>
      <c r="X380" s="146">
        <f t="shared" si="32"/>
        <v>27.083333333333332</v>
      </c>
    </row>
    <row r="381" spans="1:24" ht="9.75" customHeight="1" x14ac:dyDescent="0.25">
      <c r="A381" s="288">
        <v>937</v>
      </c>
      <c r="B381" s="288"/>
      <c r="D381" s="258" t="s">
        <v>292</v>
      </c>
      <c r="E381" s="289">
        <v>40968</v>
      </c>
      <c r="F381" s="289"/>
      <c r="G381" s="289"/>
      <c r="H381" s="289"/>
      <c r="I381" s="290" t="s">
        <v>205</v>
      </c>
      <c r="J381" s="290"/>
      <c r="K381" s="290"/>
      <c r="L381" s="47">
        <v>33</v>
      </c>
      <c r="M381" s="262">
        <v>-1613.07</v>
      </c>
      <c r="N381" s="47">
        <v>100</v>
      </c>
      <c r="O381" s="291">
        <v>-236.25</v>
      </c>
      <c r="P381" s="291"/>
      <c r="Q381" s="291"/>
      <c r="R381" s="262">
        <v>-48.88</v>
      </c>
      <c r="S381" s="262">
        <v>-285.13</v>
      </c>
      <c r="U381" s="149">
        <f t="shared" si="29"/>
        <v>53013</v>
      </c>
      <c r="V381" s="146">
        <f t="shared" si="30"/>
        <v>5.8361111111111112</v>
      </c>
      <c r="W381" s="150">
        <f t="shared" si="31"/>
        <v>27.163888888888888</v>
      </c>
      <c r="X381" s="146">
        <f t="shared" si="32"/>
        <v>27.163888888888888</v>
      </c>
    </row>
    <row r="382" spans="1:24" ht="9.75" customHeight="1" x14ac:dyDescent="0.25">
      <c r="A382" s="288">
        <v>941</v>
      </c>
      <c r="B382" s="288"/>
      <c r="D382" s="258" t="s">
        <v>292</v>
      </c>
      <c r="E382" s="289">
        <v>40999</v>
      </c>
      <c r="F382" s="289"/>
      <c r="G382" s="289"/>
      <c r="H382" s="289"/>
      <c r="I382" s="290" t="s">
        <v>205</v>
      </c>
      <c r="J382" s="290"/>
      <c r="K382" s="290"/>
      <c r="L382" s="47">
        <v>33</v>
      </c>
      <c r="M382" s="262">
        <v>-812.71</v>
      </c>
      <c r="N382" s="47">
        <v>100</v>
      </c>
      <c r="O382" s="291">
        <v>-116.99000000000001</v>
      </c>
      <c r="P382" s="291"/>
      <c r="Q382" s="291"/>
      <c r="R382" s="262">
        <v>-24.63</v>
      </c>
      <c r="S382" s="262">
        <v>-141.62</v>
      </c>
      <c r="U382" s="149">
        <f t="shared" si="29"/>
        <v>53044</v>
      </c>
      <c r="V382" s="146">
        <f t="shared" si="30"/>
        <v>5.75</v>
      </c>
      <c r="W382" s="150">
        <f t="shared" si="31"/>
        <v>27.25</v>
      </c>
      <c r="X382" s="146">
        <f t="shared" si="32"/>
        <v>27.25</v>
      </c>
    </row>
    <row r="383" spans="1:24" ht="9.75" customHeight="1" x14ac:dyDescent="0.25">
      <c r="A383" s="288">
        <v>944</v>
      </c>
      <c r="B383" s="288"/>
      <c r="D383" s="258" t="s">
        <v>292</v>
      </c>
      <c r="E383" s="289">
        <v>41029</v>
      </c>
      <c r="F383" s="289"/>
      <c r="G383" s="289"/>
      <c r="H383" s="289"/>
      <c r="I383" s="290" t="s">
        <v>205</v>
      </c>
      <c r="J383" s="290"/>
      <c r="K383" s="290"/>
      <c r="L383" s="47">
        <v>33</v>
      </c>
      <c r="M383" s="262">
        <v>5780.68</v>
      </c>
      <c r="N383" s="47">
        <v>100</v>
      </c>
      <c r="O383" s="291">
        <v>817.46</v>
      </c>
      <c r="P383" s="291"/>
      <c r="Q383" s="291"/>
      <c r="R383" s="262">
        <v>175.17000000000002</v>
      </c>
      <c r="S383" s="262">
        <v>992.63</v>
      </c>
      <c r="U383" s="149">
        <f t="shared" si="29"/>
        <v>53074</v>
      </c>
      <c r="V383" s="146">
        <f t="shared" si="30"/>
        <v>5.666666666666667</v>
      </c>
      <c r="W383" s="150">
        <f t="shared" si="31"/>
        <v>27.333333333333332</v>
      </c>
      <c r="X383" s="146">
        <f t="shared" si="32"/>
        <v>27.333333333333332</v>
      </c>
    </row>
    <row r="384" spans="1:24" ht="9.75" customHeight="1" x14ac:dyDescent="0.25">
      <c r="A384" s="288">
        <v>947</v>
      </c>
      <c r="B384" s="288"/>
      <c r="D384" s="258" t="s">
        <v>292</v>
      </c>
      <c r="E384" s="289">
        <v>41060</v>
      </c>
      <c r="F384" s="289"/>
      <c r="G384" s="289"/>
      <c r="H384" s="289"/>
      <c r="I384" s="290" t="s">
        <v>205</v>
      </c>
      <c r="J384" s="290"/>
      <c r="K384" s="290"/>
      <c r="L384" s="47">
        <v>33</v>
      </c>
      <c r="M384" s="262">
        <v>1510.09</v>
      </c>
      <c r="N384" s="47">
        <v>100</v>
      </c>
      <c r="O384" s="291">
        <v>209.73000000000002</v>
      </c>
      <c r="P384" s="291"/>
      <c r="Q384" s="291"/>
      <c r="R384" s="262">
        <v>45.76</v>
      </c>
      <c r="S384" s="262">
        <v>255.49</v>
      </c>
      <c r="U384" s="149">
        <f t="shared" si="29"/>
        <v>53105</v>
      </c>
      <c r="V384" s="146">
        <f t="shared" si="30"/>
        <v>5.583333333333333</v>
      </c>
      <c r="W384" s="150">
        <f t="shared" si="31"/>
        <v>27.416666666666668</v>
      </c>
      <c r="X384" s="146">
        <f t="shared" si="32"/>
        <v>27.416666666666668</v>
      </c>
    </row>
    <row r="385" spans="1:24" ht="9.75" customHeight="1" x14ac:dyDescent="0.25">
      <c r="A385" s="288">
        <v>951</v>
      </c>
      <c r="B385" s="288"/>
      <c r="D385" s="258" t="s">
        <v>292</v>
      </c>
      <c r="E385" s="289">
        <v>41090</v>
      </c>
      <c r="F385" s="289"/>
      <c r="G385" s="289"/>
      <c r="H385" s="289"/>
      <c r="I385" s="290" t="s">
        <v>205</v>
      </c>
      <c r="J385" s="290"/>
      <c r="K385" s="290"/>
      <c r="L385" s="47">
        <v>33</v>
      </c>
      <c r="M385" s="262">
        <v>9584.7199999999993</v>
      </c>
      <c r="N385" s="47">
        <v>100</v>
      </c>
      <c r="O385" s="291">
        <v>1307.03</v>
      </c>
      <c r="P385" s="291"/>
      <c r="Q385" s="291"/>
      <c r="R385" s="262">
        <v>290.45</v>
      </c>
      <c r="S385" s="262">
        <v>1597.48</v>
      </c>
      <c r="U385" s="149">
        <f t="shared" si="29"/>
        <v>53135</v>
      </c>
      <c r="V385" s="146">
        <f t="shared" si="30"/>
        <v>5.5</v>
      </c>
      <c r="W385" s="150">
        <f t="shared" si="31"/>
        <v>27.5</v>
      </c>
      <c r="X385" s="146">
        <f t="shared" si="32"/>
        <v>27.5</v>
      </c>
    </row>
    <row r="386" spans="1:24" ht="9.75" customHeight="1" x14ac:dyDescent="0.25">
      <c r="A386" s="288">
        <v>957</v>
      </c>
      <c r="B386" s="288"/>
      <c r="D386" s="258" t="s">
        <v>292</v>
      </c>
      <c r="E386" s="289">
        <v>41121</v>
      </c>
      <c r="F386" s="289"/>
      <c r="G386" s="289"/>
      <c r="H386" s="289"/>
      <c r="I386" s="290" t="s">
        <v>205</v>
      </c>
      <c r="J386" s="290"/>
      <c r="K386" s="290"/>
      <c r="L386" s="47">
        <v>33</v>
      </c>
      <c r="M386" s="262">
        <v>1885.29</v>
      </c>
      <c r="N386" s="47">
        <v>100</v>
      </c>
      <c r="O386" s="291">
        <v>252.32</v>
      </c>
      <c r="P386" s="291"/>
      <c r="Q386" s="291"/>
      <c r="R386" s="262">
        <v>57.13</v>
      </c>
      <c r="S386" s="262">
        <v>309.45</v>
      </c>
      <c r="U386" s="149">
        <f t="shared" si="29"/>
        <v>53166</v>
      </c>
      <c r="V386" s="146">
        <f t="shared" si="30"/>
        <v>5.416666666666667</v>
      </c>
      <c r="W386" s="150">
        <f t="shared" si="31"/>
        <v>27.583333333333332</v>
      </c>
      <c r="X386" s="146">
        <f t="shared" si="32"/>
        <v>27.583333333333332</v>
      </c>
    </row>
    <row r="387" spans="1:24" ht="9.75" customHeight="1" x14ac:dyDescent="0.25">
      <c r="A387" s="288">
        <v>963</v>
      </c>
      <c r="B387" s="288"/>
      <c r="D387" s="258" t="s">
        <v>301</v>
      </c>
      <c r="E387" s="289">
        <v>41152</v>
      </c>
      <c r="F387" s="289"/>
      <c r="G387" s="289"/>
      <c r="H387" s="289"/>
      <c r="I387" s="290" t="s">
        <v>205</v>
      </c>
      <c r="J387" s="290"/>
      <c r="K387" s="290"/>
      <c r="L387" s="47">
        <v>33</v>
      </c>
      <c r="M387" s="262">
        <v>350.39</v>
      </c>
      <c r="N387" s="47">
        <v>100</v>
      </c>
      <c r="O387" s="291">
        <v>46.02</v>
      </c>
      <c r="P387" s="291"/>
      <c r="Q387" s="291"/>
      <c r="R387" s="262">
        <v>10.620000000000001</v>
      </c>
      <c r="S387" s="262">
        <v>56.64</v>
      </c>
      <c r="U387" s="149">
        <f t="shared" si="29"/>
        <v>53197</v>
      </c>
      <c r="V387" s="146">
        <f t="shared" si="30"/>
        <v>5.333333333333333</v>
      </c>
      <c r="W387" s="150">
        <f t="shared" si="31"/>
        <v>27.666666666666668</v>
      </c>
      <c r="X387" s="146">
        <f t="shared" si="32"/>
        <v>27.666666666666668</v>
      </c>
    </row>
    <row r="388" spans="1:24" ht="9.75" customHeight="1" x14ac:dyDescent="0.25">
      <c r="A388" s="288">
        <v>964</v>
      </c>
      <c r="B388" s="288"/>
      <c r="D388" s="258" t="s">
        <v>292</v>
      </c>
      <c r="E388" s="289">
        <v>41151</v>
      </c>
      <c r="F388" s="289"/>
      <c r="G388" s="289"/>
      <c r="H388" s="289"/>
      <c r="I388" s="290" t="s">
        <v>205</v>
      </c>
      <c r="J388" s="290"/>
      <c r="K388" s="290"/>
      <c r="L388" s="47">
        <v>33</v>
      </c>
      <c r="M388" s="262">
        <v>1242.4100000000001</v>
      </c>
      <c r="N388" s="47">
        <v>100</v>
      </c>
      <c r="O388" s="291">
        <v>163.15</v>
      </c>
      <c r="P388" s="291"/>
      <c r="Q388" s="291"/>
      <c r="R388" s="262">
        <v>37.65</v>
      </c>
      <c r="S388" s="262">
        <v>200.8</v>
      </c>
      <c r="U388" s="149">
        <f t="shared" si="29"/>
        <v>53196</v>
      </c>
      <c r="V388" s="146">
        <f t="shared" si="30"/>
        <v>5.333333333333333</v>
      </c>
      <c r="W388" s="150">
        <f t="shared" si="31"/>
        <v>27.666666666666668</v>
      </c>
      <c r="X388" s="146">
        <f t="shared" si="32"/>
        <v>27.666666666666668</v>
      </c>
    </row>
    <row r="389" spans="1:24" ht="9.75" customHeight="1" x14ac:dyDescent="0.25">
      <c r="A389" s="288">
        <v>970</v>
      </c>
      <c r="B389" s="288"/>
      <c r="D389" s="258" t="s">
        <v>302</v>
      </c>
      <c r="E389" s="289">
        <v>41156</v>
      </c>
      <c r="F389" s="289"/>
      <c r="G389" s="289"/>
      <c r="H389" s="289"/>
      <c r="I389" s="290" t="s">
        <v>205</v>
      </c>
      <c r="J389" s="290"/>
      <c r="K389" s="290"/>
      <c r="L389" s="47">
        <v>33</v>
      </c>
      <c r="M389" s="262">
        <v>3425</v>
      </c>
      <c r="N389" s="47">
        <v>100</v>
      </c>
      <c r="O389" s="291">
        <v>449.76</v>
      </c>
      <c r="P389" s="291"/>
      <c r="Q389" s="291"/>
      <c r="R389" s="262">
        <v>103.79</v>
      </c>
      <c r="S389" s="262">
        <v>553.54999999999995</v>
      </c>
      <c r="U389" s="149">
        <f t="shared" si="29"/>
        <v>53201</v>
      </c>
      <c r="V389" s="146">
        <f t="shared" si="30"/>
        <v>5.3250000000000002</v>
      </c>
      <c r="W389" s="150">
        <f t="shared" si="31"/>
        <v>27.675000000000001</v>
      </c>
      <c r="X389" s="146">
        <f t="shared" si="32"/>
        <v>27.675000000000001</v>
      </c>
    </row>
    <row r="390" spans="1:24" ht="9.75" customHeight="1" x14ac:dyDescent="0.25">
      <c r="A390" s="288">
        <v>972</v>
      </c>
      <c r="B390" s="288"/>
      <c r="D390" s="258" t="s">
        <v>292</v>
      </c>
      <c r="E390" s="289">
        <v>41182</v>
      </c>
      <c r="F390" s="289"/>
      <c r="G390" s="289"/>
      <c r="H390" s="289"/>
      <c r="I390" s="290" t="s">
        <v>205</v>
      </c>
      <c r="J390" s="290"/>
      <c r="K390" s="290"/>
      <c r="L390" s="47">
        <v>33</v>
      </c>
      <c r="M390" s="262">
        <v>1379.9</v>
      </c>
      <c r="N390" s="47">
        <v>100</v>
      </c>
      <c r="O390" s="291">
        <v>177.74</v>
      </c>
      <c r="P390" s="291"/>
      <c r="Q390" s="291"/>
      <c r="R390" s="262">
        <v>41.82</v>
      </c>
      <c r="S390" s="262">
        <v>219.56</v>
      </c>
      <c r="U390" s="149">
        <f t="shared" si="29"/>
        <v>53227</v>
      </c>
      <c r="V390" s="146">
        <f t="shared" si="30"/>
        <v>5.25</v>
      </c>
      <c r="W390" s="150">
        <f t="shared" si="31"/>
        <v>27.75</v>
      </c>
      <c r="X390" s="146">
        <f t="shared" si="32"/>
        <v>27.75</v>
      </c>
    </row>
    <row r="391" spans="1:24" ht="9.75" customHeight="1" x14ac:dyDescent="0.25">
      <c r="A391" s="288">
        <v>976</v>
      </c>
      <c r="B391" s="288"/>
      <c r="D391" s="258" t="s">
        <v>292</v>
      </c>
      <c r="E391" s="289">
        <v>41213</v>
      </c>
      <c r="F391" s="289"/>
      <c r="G391" s="289"/>
      <c r="H391" s="289"/>
      <c r="I391" s="290" t="s">
        <v>205</v>
      </c>
      <c r="J391" s="290"/>
      <c r="K391" s="290"/>
      <c r="L391" s="47">
        <v>33</v>
      </c>
      <c r="M391" s="262">
        <v>23098.74</v>
      </c>
      <c r="N391" s="47">
        <v>100</v>
      </c>
      <c r="O391" s="291">
        <v>2916.5</v>
      </c>
      <c r="P391" s="291"/>
      <c r="Q391" s="291"/>
      <c r="R391" s="262">
        <v>699.96</v>
      </c>
      <c r="S391" s="262">
        <v>3616.46</v>
      </c>
      <c r="U391" s="149">
        <f t="shared" si="29"/>
        <v>53258</v>
      </c>
      <c r="V391" s="146">
        <f t="shared" si="30"/>
        <v>5.166666666666667</v>
      </c>
      <c r="W391" s="150">
        <f t="shared" si="31"/>
        <v>27.833333333333332</v>
      </c>
      <c r="X391" s="146">
        <f t="shared" si="32"/>
        <v>27.833333333333332</v>
      </c>
    </row>
    <row r="392" spans="1:24" ht="9.75" customHeight="1" x14ac:dyDescent="0.25">
      <c r="A392" s="288">
        <v>980</v>
      </c>
      <c r="B392" s="288"/>
      <c r="D392" s="258" t="s">
        <v>64</v>
      </c>
      <c r="E392" s="289">
        <v>41243</v>
      </c>
      <c r="F392" s="289"/>
      <c r="G392" s="289"/>
      <c r="H392" s="289"/>
      <c r="I392" s="290" t="s">
        <v>205</v>
      </c>
      <c r="J392" s="290"/>
      <c r="K392" s="290"/>
      <c r="L392" s="47">
        <v>33</v>
      </c>
      <c r="M392" s="262">
        <v>1210.04</v>
      </c>
      <c r="N392" s="47">
        <v>100</v>
      </c>
      <c r="O392" s="291">
        <v>149.74</v>
      </c>
      <c r="P392" s="291"/>
      <c r="Q392" s="291"/>
      <c r="R392" s="262">
        <v>36.67</v>
      </c>
      <c r="S392" s="262">
        <v>186.41</v>
      </c>
      <c r="U392" s="149">
        <f t="shared" si="29"/>
        <v>53288</v>
      </c>
      <c r="V392" s="146">
        <f t="shared" si="30"/>
        <v>5.083333333333333</v>
      </c>
      <c r="W392" s="150">
        <f t="shared" si="31"/>
        <v>27.916666666666668</v>
      </c>
      <c r="X392" s="146">
        <f t="shared" si="32"/>
        <v>27.916666666666668</v>
      </c>
    </row>
    <row r="393" spans="1:24" ht="9.75" customHeight="1" x14ac:dyDescent="0.25">
      <c r="A393" s="288">
        <v>982</v>
      </c>
      <c r="B393" s="288"/>
      <c r="D393" s="258" t="s">
        <v>64</v>
      </c>
      <c r="E393" s="289">
        <v>41305</v>
      </c>
      <c r="F393" s="289"/>
      <c r="G393" s="289"/>
      <c r="H393" s="289"/>
      <c r="I393" s="290" t="s">
        <v>205</v>
      </c>
      <c r="J393" s="290"/>
      <c r="K393" s="290"/>
      <c r="L393" s="47">
        <v>33</v>
      </c>
      <c r="M393" s="262">
        <v>-348.3</v>
      </c>
      <c r="N393" s="47">
        <v>100</v>
      </c>
      <c r="O393" s="291">
        <v>-41.32</v>
      </c>
      <c r="P393" s="291"/>
      <c r="Q393" s="291"/>
      <c r="R393" s="262">
        <v>-10.55</v>
      </c>
      <c r="S393" s="262">
        <v>-51.870000000000005</v>
      </c>
      <c r="U393" s="149">
        <f t="shared" si="29"/>
        <v>53350</v>
      </c>
      <c r="V393" s="146">
        <f t="shared" si="30"/>
        <v>4.916666666666667</v>
      </c>
      <c r="W393" s="150">
        <f t="shared" si="31"/>
        <v>28.083333333333332</v>
      </c>
      <c r="X393" s="146">
        <f t="shared" si="32"/>
        <v>28.083333333333332</v>
      </c>
    </row>
    <row r="394" spans="1:24" ht="9.75" customHeight="1" x14ac:dyDescent="0.25">
      <c r="A394" s="288">
        <v>984</v>
      </c>
      <c r="B394" s="288"/>
      <c r="D394" s="258" t="s">
        <v>64</v>
      </c>
      <c r="E394" s="289">
        <v>41333</v>
      </c>
      <c r="F394" s="289"/>
      <c r="G394" s="289"/>
      <c r="H394" s="289"/>
      <c r="I394" s="290" t="s">
        <v>205</v>
      </c>
      <c r="J394" s="290"/>
      <c r="K394" s="290"/>
      <c r="L394" s="47">
        <v>33</v>
      </c>
      <c r="M394" s="262">
        <v>1050.92</v>
      </c>
      <c r="N394" s="47">
        <v>100</v>
      </c>
      <c r="O394" s="291">
        <v>122.09</v>
      </c>
      <c r="P394" s="291"/>
      <c r="Q394" s="291"/>
      <c r="R394" s="262">
        <v>31.85</v>
      </c>
      <c r="S394" s="262">
        <v>153.94</v>
      </c>
      <c r="U394" s="149">
        <f t="shared" si="29"/>
        <v>53378</v>
      </c>
      <c r="V394" s="146">
        <f t="shared" si="30"/>
        <v>4.8361111111111112</v>
      </c>
      <c r="W394" s="150">
        <f t="shared" si="31"/>
        <v>28.163888888888888</v>
      </c>
      <c r="X394" s="146">
        <f t="shared" si="32"/>
        <v>28.163888888888888</v>
      </c>
    </row>
    <row r="395" spans="1:24" ht="9.75" customHeight="1" x14ac:dyDescent="0.25">
      <c r="A395" s="288">
        <v>987</v>
      </c>
      <c r="B395" s="288"/>
      <c r="D395" s="258" t="s">
        <v>64</v>
      </c>
      <c r="E395" s="289">
        <v>41274</v>
      </c>
      <c r="F395" s="289"/>
      <c r="G395" s="289"/>
      <c r="H395" s="289"/>
      <c r="I395" s="290" t="s">
        <v>205</v>
      </c>
      <c r="J395" s="290"/>
      <c r="K395" s="290"/>
      <c r="L395" s="47">
        <v>33</v>
      </c>
      <c r="M395" s="262">
        <v>9455.27</v>
      </c>
      <c r="N395" s="47">
        <v>100</v>
      </c>
      <c r="O395" s="291">
        <v>1146.08</v>
      </c>
      <c r="P395" s="291"/>
      <c r="Q395" s="291"/>
      <c r="R395" s="262">
        <v>286.52</v>
      </c>
      <c r="S395" s="262">
        <v>1432.6000000000001</v>
      </c>
      <c r="U395" s="149">
        <f t="shared" si="29"/>
        <v>53319</v>
      </c>
      <c r="V395" s="146">
        <f t="shared" si="30"/>
        <v>5</v>
      </c>
      <c r="W395" s="150">
        <f t="shared" si="31"/>
        <v>28</v>
      </c>
      <c r="X395" s="146">
        <f t="shared" si="32"/>
        <v>28</v>
      </c>
    </row>
    <row r="396" spans="1:24" ht="9.75" customHeight="1" x14ac:dyDescent="0.25">
      <c r="A396" s="288">
        <v>991</v>
      </c>
      <c r="B396" s="288"/>
      <c r="D396" s="258" t="s">
        <v>64</v>
      </c>
      <c r="E396" s="289">
        <v>41364</v>
      </c>
      <c r="F396" s="289"/>
      <c r="G396" s="289"/>
      <c r="H396" s="289"/>
      <c r="I396" s="290" t="s">
        <v>205</v>
      </c>
      <c r="J396" s="290"/>
      <c r="K396" s="290"/>
      <c r="L396" s="47">
        <v>33</v>
      </c>
      <c r="M396" s="262">
        <v>1122.92</v>
      </c>
      <c r="N396" s="47">
        <v>100</v>
      </c>
      <c r="O396" s="291">
        <v>127.61</v>
      </c>
      <c r="P396" s="291"/>
      <c r="Q396" s="291"/>
      <c r="R396" s="262">
        <v>34.03</v>
      </c>
      <c r="S396" s="262">
        <v>161.63999999999999</v>
      </c>
      <c r="U396" s="149">
        <f t="shared" si="29"/>
        <v>53409</v>
      </c>
      <c r="V396" s="146">
        <f t="shared" si="30"/>
        <v>4.75</v>
      </c>
      <c r="W396" s="150">
        <f t="shared" si="31"/>
        <v>28.25</v>
      </c>
      <c r="X396" s="146">
        <f t="shared" si="32"/>
        <v>28.25</v>
      </c>
    </row>
    <row r="397" spans="1:24" ht="9.75" customHeight="1" x14ac:dyDescent="0.25">
      <c r="A397" s="288">
        <v>992</v>
      </c>
      <c r="B397" s="288"/>
      <c r="D397" s="258" t="s">
        <v>64</v>
      </c>
      <c r="E397" s="289">
        <v>41394</v>
      </c>
      <c r="F397" s="289"/>
      <c r="G397" s="289"/>
      <c r="H397" s="289"/>
      <c r="I397" s="290" t="s">
        <v>205</v>
      </c>
      <c r="J397" s="290"/>
      <c r="K397" s="290"/>
      <c r="L397" s="47">
        <v>33</v>
      </c>
      <c r="M397" s="262">
        <v>951.92000000000007</v>
      </c>
      <c r="N397" s="47">
        <v>100</v>
      </c>
      <c r="O397" s="291">
        <v>105.78</v>
      </c>
      <c r="P397" s="291"/>
      <c r="Q397" s="291"/>
      <c r="R397" s="262">
        <v>28.85</v>
      </c>
      <c r="S397" s="262">
        <v>134.63</v>
      </c>
      <c r="U397" s="149">
        <f t="shared" si="29"/>
        <v>53439</v>
      </c>
      <c r="V397" s="146">
        <f t="shared" si="30"/>
        <v>4.666666666666667</v>
      </c>
      <c r="W397" s="150">
        <f t="shared" si="31"/>
        <v>28.333333333333332</v>
      </c>
      <c r="X397" s="146">
        <f t="shared" si="32"/>
        <v>28.333333333333332</v>
      </c>
    </row>
    <row r="398" spans="1:24" ht="9.75" customHeight="1" x14ac:dyDescent="0.25">
      <c r="A398" s="288">
        <v>996</v>
      </c>
      <c r="B398" s="288"/>
      <c r="D398" s="258" t="s">
        <v>64</v>
      </c>
      <c r="E398" s="289">
        <v>41425</v>
      </c>
      <c r="F398" s="289"/>
      <c r="G398" s="289"/>
      <c r="H398" s="289"/>
      <c r="I398" s="290" t="s">
        <v>205</v>
      </c>
      <c r="J398" s="290"/>
      <c r="K398" s="290"/>
      <c r="L398" s="47">
        <v>33</v>
      </c>
      <c r="M398" s="262">
        <v>1634.74</v>
      </c>
      <c r="N398" s="47">
        <v>100</v>
      </c>
      <c r="O398" s="291">
        <v>177.52</v>
      </c>
      <c r="P398" s="291"/>
      <c r="Q398" s="291"/>
      <c r="R398" s="262">
        <v>49.54</v>
      </c>
      <c r="S398" s="262">
        <v>227.06</v>
      </c>
      <c r="U398" s="149">
        <f t="shared" si="29"/>
        <v>53470</v>
      </c>
      <c r="V398" s="146">
        <f t="shared" si="30"/>
        <v>4.583333333333333</v>
      </c>
      <c r="W398" s="150">
        <f t="shared" si="31"/>
        <v>28.416666666666668</v>
      </c>
      <c r="X398" s="146">
        <f t="shared" ref="X398:X429" si="33">IF(W398=0,0,W398)</f>
        <v>28.416666666666668</v>
      </c>
    </row>
    <row r="399" spans="1:24" ht="9.75" customHeight="1" x14ac:dyDescent="0.25">
      <c r="A399" s="288">
        <v>1000</v>
      </c>
      <c r="B399" s="288"/>
      <c r="D399" s="258" t="s">
        <v>64</v>
      </c>
      <c r="E399" s="289">
        <v>41455</v>
      </c>
      <c r="F399" s="289"/>
      <c r="G399" s="289"/>
      <c r="H399" s="289"/>
      <c r="I399" s="290" t="s">
        <v>205</v>
      </c>
      <c r="J399" s="290"/>
      <c r="K399" s="290"/>
      <c r="L399" s="47">
        <v>33</v>
      </c>
      <c r="M399" s="262">
        <v>951.92000000000007</v>
      </c>
      <c r="N399" s="47">
        <v>100</v>
      </c>
      <c r="O399" s="291">
        <v>100.98</v>
      </c>
      <c r="P399" s="291"/>
      <c r="Q399" s="291"/>
      <c r="R399" s="262">
        <v>28.85</v>
      </c>
      <c r="S399" s="262">
        <v>129.83000000000001</v>
      </c>
      <c r="U399" s="149">
        <f t="shared" si="29"/>
        <v>53500</v>
      </c>
      <c r="V399" s="146">
        <f t="shared" si="30"/>
        <v>4.5</v>
      </c>
      <c r="W399" s="150">
        <f t="shared" si="31"/>
        <v>28.5</v>
      </c>
      <c r="X399" s="146">
        <f t="shared" si="33"/>
        <v>28.5</v>
      </c>
    </row>
    <row r="400" spans="1:24" ht="9.75" customHeight="1" x14ac:dyDescent="0.25">
      <c r="A400" s="288">
        <v>1002</v>
      </c>
      <c r="B400" s="288"/>
      <c r="D400" s="258" t="s">
        <v>64</v>
      </c>
      <c r="E400" s="289">
        <v>41486</v>
      </c>
      <c r="F400" s="289"/>
      <c r="G400" s="289"/>
      <c r="H400" s="289"/>
      <c r="I400" s="290" t="s">
        <v>205</v>
      </c>
      <c r="J400" s="290"/>
      <c r="K400" s="290"/>
      <c r="L400" s="47">
        <v>33</v>
      </c>
      <c r="M400" s="262">
        <v>-5342.09</v>
      </c>
      <c r="N400" s="47">
        <v>100</v>
      </c>
      <c r="O400" s="291">
        <v>-553.09</v>
      </c>
      <c r="P400" s="291"/>
      <c r="Q400" s="291"/>
      <c r="R400" s="262">
        <v>-161.88</v>
      </c>
      <c r="S400" s="262">
        <v>-714.97</v>
      </c>
      <c r="U400" s="149">
        <f t="shared" si="29"/>
        <v>53531</v>
      </c>
      <c r="V400" s="146">
        <f t="shared" si="30"/>
        <v>4.416666666666667</v>
      </c>
      <c r="W400" s="150">
        <f t="shared" si="31"/>
        <v>28.583333333333332</v>
      </c>
      <c r="X400" s="146">
        <f t="shared" si="33"/>
        <v>28.583333333333332</v>
      </c>
    </row>
    <row r="401" spans="1:24" ht="9.75" customHeight="1" x14ac:dyDescent="0.25">
      <c r="A401" s="288">
        <v>1005</v>
      </c>
      <c r="B401" s="288"/>
      <c r="D401" s="258" t="s">
        <v>64</v>
      </c>
      <c r="E401" s="289">
        <v>41517</v>
      </c>
      <c r="F401" s="289"/>
      <c r="G401" s="289"/>
      <c r="H401" s="289"/>
      <c r="I401" s="290" t="s">
        <v>205</v>
      </c>
      <c r="J401" s="290"/>
      <c r="K401" s="290"/>
      <c r="L401" s="47">
        <v>33</v>
      </c>
      <c r="M401" s="262">
        <v>9987.57</v>
      </c>
      <c r="N401" s="47">
        <v>100</v>
      </c>
      <c r="O401" s="291">
        <v>1008.83</v>
      </c>
      <c r="P401" s="291"/>
      <c r="Q401" s="291"/>
      <c r="R401" s="262">
        <v>302.64999999999998</v>
      </c>
      <c r="S401" s="262">
        <v>1311.48</v>
      </c>
      <c r="U401" s="149">
        <f t="shared" si="29"/>
        <v>53562</v>
      </c>
      <c r="V401" s="146">
        <f t="shared" si="30"/>
        <v>4.333333333333333</v>
      </c>
      <c r="W401" s="150">
        <f t="shared" si="31"/>
        <v>28.666666666666668</v>
      </c>
      <c r="X401" s="146">
        <f t="shared" si="33"/>
        <v>28.666666666666668</v>
      </c>
    </row>
    <row r="402" spans="1:24" ht="9.75" customHeight="1" x14ac:dyDescent="0.25">
      <c r="A402" s="288">
        <v>1009</v>
      </c>
      <c r="B402" s="288"/>
      <c r="D402" s="258" t="s">
        <v>64</v>
      </c>
      <c r="E402" s="289">
        <v>41547</v>
      </c>
      <c r="F402" s="289"/>
      <c r="G402" s="289"/>
      <c r="H402" s="289"/>
      <c r="I402" s="290" t="s">
        <v>205</v>
      </c>
      <c r="J402" s="290"/>
      <c r="K402" s="290"/>
      <c r="L402" s="47">
        <v>33</v>
      </c>
      <c r="M402" s="262">
        <v>11949.29</v>
      </c>
      <c r="N402" s="47">
        <v>100</v>
      </c>
      <c r="O402" s="291">
        <v>1176.83</v>
      </c>
      <c r="P402" s="291"/>
      <c r="Q402" s="291"/>
      <c r="R402" s="262">
        <v>362.1</v>
      </c>
      <c r="S402" s="262">
        <v>1538.93</v>
      </c>
      <c r="U402" s="149">
        <f t="shared" si="29"/>
        <v>53592</v>
      </c>
      <c r="V402" s="146">
        <f t="shared" si="30"/>
        <v>4.25</v>
      </c>
      <c r="W402" s="150">
        <f t="shared" si="31"/>
        <v>28.75</v>
      </c>
      <c r="X402" s="146">
        <f t="shared" si="33"/>
        <v>28.75</v>
      </c>
    </row>
    <row r="403" spans="1:24" ht="9.75" customHeight="1" x14ac:dyDescent="0.25">
      <c r="A403" s="288">
        <v>1014</v>
      </c>
      <c r="B403" s="288"/>
      <c r="D403" s="258" t="s">
        <v>64</v>
      </c>
      <c r="E403" s="289">
        <v>41578</v>
      </c>
      <c r="F403" s="289"/>
      <c r="G403" s="289"/>
      <c r="H403" s="289"/>
      <c r="I403" s="290" t="s">
        <v>205</v>
      </c>
      <c r="J403" s="290"/>
      <c r="K403" s="290"/>
      <c r="L403" s="47">
        <v>33</v>
      </c>
      <c r="M403" s="262">
        <v>2556.2199999999998</v>
      </c>
      <c r="N403" s="47">
        <v>100</v>
      </c>
      <c r="O403" s="291">
        <v>245.29</v>
      </c>
      <c r="P403" s="291"/>
      <c r="Q403" s="291"/>
      <c r="R403" s="262">
        <v>77.459999999999994</v>
      </c>
      <c r="S403" s="262">
        <v>322.75</v>
      </c>
      <c r="U403" s="149">
        <f t="shared" si="29"/>
        <v>53623</v>
      </c>
      <c r="V403" s="146">
        <f t="shared" si="30"/>
        <v>4.166666666666667</v>
      </c>
      <c r="W403" s="150">
        <f t="shared" si="31"/>
        <v>28.833333333333332</v>
      </c>
      <c r="X403" s="146">
        <f t="shared" si="33"/>
        <v>28.833333333333332</v>
      </c>
    </row>
    <row r="404" spans="1:24" ht="9.75" customHeight="1" x14ac:dyDescent="0.25">
      <c r="A404" s="288">
        <v>1018</v>
      </c>
      <c r="B404" s="288"/>
      <c r="D404" s="258" t="s">
        <v>64</v>
      </c>
      <c r="E404" s="289">
        <v>41608</v>
      </c>
      <c r="F404" s="289"/>
      <c r="G404" s="289"/>
      <c r="H404" s="289"/>
      <c r="I404" s="290" t="s">
        <v>205</v>
      </c>
      <c r="J404" s="290"/>
      <c r="K404" s="290"/>
      <c r="L404" s="47">
        <v>33</v>
      </c>
      <c r="M404" s="262">
        <v>1122.53</v>
      </c>
      <c r="N404" s="47">
        <v>100</v>
      </c>
      <c r="O404" s="291">
        <v>104.89</v>
      </c>
      <c r="P404" s="291"/>
      <c r="Q404" s="291"/>
      <c r="R404" s="262">
        <v>34.020000000000003</v>
      </c>
      <c r="S404" s="262">
        <v>138.91</v>
      </c>
      <c r="U404" s="149">
        <f t="shared" si="29"/>
        <v>53653</v>
      </c>
      <c r="V404" s="146">
        <f t="shared" si="30"/>
        <v>4.083333333333333</v>
      </c>
      <c r="W404" s="150">
        <f t="shared" si="31"/>
        <v>28.916666666666668</v>
      </c>
      <c r="X404" s="146">
        <f t="shared" si="33"/>
        <v>28.916666666666668</v>
      </c>
    </row>
    <row r="405" spans="1:24" ht="9.75" customHeight="1" x14ac:dyDescent="0.25">
      <c r="A405" s="288">
        <v>1022</v>
      </c>
      <c r="B405" s="288"/>
      <c r="D405" s="258" t="s">
        <v>292</v>
      </c>
      <c r="E405" s="289">
        <v>41639</v>
      </c>
      <c r="F405" s="289"/>
      <c r="G405" s="289"/>
      <c r="H405" s="289"/>
      <c r="I405" s="290" t="s">
        <v>205</v>
      </c>
      <c r="J405" s="290"/>
      <c r="K405" s="290"/>
      <c r="L405" s="47">
        <v>33</v>
      </c>
      <c r="M405" s="262">
        <v>-13918.73</v>
      </c>
      <c r="N405" s="47">
        <v>100</v>
      </c>
      <c r="O405" s="291">
        <v>-1265.3399999999999</v>
      </c>
      <c r="P405" s="291"/>
      <c r="Q405" s="291"/>
      <c r="R405" s="262">
        <v>-421.78000000000003</v>
      </c>
      <c r="S405" s="262">
        <v>-1687.1200000000001</v>
      </c>
      <c r="U405" s="149">
        <f t="shared" si="29"/>
        <v>53684</v>
      </c>
      <c r="V405" s="146">
        <f t="shared" si="30"/>
        <v>4</v>
      </c>
      <c r="W405" s="150">
        <f t="shared" si="31"/>
        <v>29</v>
      </c>
      <c r="X405" s="146">
        <f t="shared" si="33"/>
        <v>29</v>
      </c>
    </row>
    <row r="406" spans="1:24" ht="9.75" customHeight="1" x14ac:dyDescent="0.25">
      <c r="A406" s="288">
        <v>1033</v>
      </c>
      <c r="B406" s="288"/>
      <c r="D406" s="258" t="s">
        <v>64</v>
      </c>
      <c r="E406" s="289">
        <v>41670</v>
      </c>
      <c r="F406" s="289"/>
      <c r="G406" s="289"/>
      <c r="H406" s="289"/>
      <c r="I406" s="290" t="s">
        <v>205</v>
      </c>
      <c r="J406" s="290"/>
      <c r="K406" s="290"/>
      <c r="L406" s="47">
        <v>33</v>
      </c>
      <c r="M406" s="262">
        <v>13180.29</v>
      </c>
      <c r="N406" s="47">
        <v>100</v>
      </c>
      <c r="O406" s="291">
        <v>1164.92</v>
      </c>
      <c r="P406" s="291"/>
      <c r="Q406" s="291"/>
      <c r="R406" s="262">
        <v>399.40000000000003</v>
      </c>
      <c r="S406" s="262">
        <v>1564.32</v>
      </c>
      <c r="U406" s="149">
        <f t="shared" si="29"/>
        <v>53715</v>
      </c>
      <c r="V406" s="146">
        <f t="shared" si="30"/>
        <v>3.9166666666666665</v>
      </c>
      <c r="W406" s="150">
        <f t="shared" si="31"/>
        <v>29.083333333333332</v>
      </c>
      <c r="X406" s="146">
        <f t="shared" si="33"/>
        <v>29.083333333333332</v>
      </c>
    </row>
    <row r="407" spans="1:24" ht="9.75" customHeight="1" x14ac:dyDescent="0.25">
      <c r="A407" s="288">
        <v>1036</v>
      </c>
      <c r="B407" s="288"/>
      <c r="D407" s="258" t="s">
        <v>292</v>
      </c>
      <c r="E407" s="289">
        <v>41698</v>
      </c>
      <c r="F407" s="289"/>
      <c r="G407" s="289"/>
      <c r="H407" s="289"/>
      <c r="I407" s="290" t="s">
        <v>205</v>
      </c>
      <c r="J407" s="290"/>
      <c r="K407" s="290"/>
      <c r="L407" s="47">
        <v>33</v>
      </c>
      <c r="M407" s="262">
        <v>2482.4899999999998</v>
      </c>
      <c r="N407" s="47">
        <v>100</v>
      </c>
      <c r="O407" s="291">
        <v>213.15</v>
      </c>
      <c r="P407" s="291"/>
      <c r="Q407" s="291"/>
      <c r="R407" s="262">
        <v>75.23</v>
      </c>
      <c r="S407" s="262">
        <v>288.38</v>
      </c>
      <c r="U407" s="149">
        <f t="shared" si="29"/>
        <v>53743</v>
      </c>
      <c r="V407" s="146">
        <f t="shared" si="30"/>
        <v>3.8361111111111112</v>
      </c>
      <c r="W407" s="150">
        <f t="shared" si="31"/>
        <v>29.163888888888888</v>
      </c>
      <c r="X407" s="146">
        <f t="shared" si="33"/>
        <v>29.163888888888888</v>
      </c>
    </row>
    <row r="408" spans="1:24" ht="9.75" customHeight="1" x14ac:dyDescent="0.25">
      <c r="A408" s="288">
        <v>1039</v>
      </c>
      <c r="B408" s="288"/>
      <c r="D408" s="258" t="s">
        <v>292</v>
      </c>
      <c r="E408" s="289">
        <v>41729</v>
      </c>
      <c r="F408" s="289"/>
      <c r="G408" s="289"/>
      <c r="H408" s="289"/>
      <c r="I408" s="290" t="s">
        <v>205</v>
      </c>
      <c r="J408" s="290"/>
      <c r="K408" s="290"/>
      <c r="L408" s="47">
        <v>33</v>
      </c>
      <c r="M408" s="262">
        <v>1858.13</v>
      </c>
      <c r="N408" s="47">
        <v>100</v>
      </c>
      <c r="O408" s="291">
        <v>154.85</v>
      </c>
      <c r="P408" s="291"/>
      <c r="Q408" s="291"/>
      <c r="R408" s="262">
        <v>56.31</v>
      </c>
      <c r="S408" s="262">
        <v>211.16</v>
      </c>
      <c r="U408" s="149">
        <f t="shared" si="29"/>
        <v>53774</v>
      </c>
      <c r="V408" s="146">
        <f t="shared" si="30"/>
        <v>3.75</v>
      </c>
      <c r="W408" s="150">
        <f t="shared" si="31"/>
        <v>29.25</v>
      </c>
      <c r="X408" s="146">
        <f t="shared" si="33"/>
        <v>29.25</v>
      </c>
    </row>
    <row r="409" spans="1:24" ht="9.75" customHeight="1" x14ac:dyDescent="0.25">
      <c r="A409" s="288">
        <v>1043</v>
      </c>
      <c r="B409" s="288"/>
      <c r="D409" s="258" t="s">
        <v>292</v>
      </c>
      <c r="E409" s="289">
        <v>41759</v>
      </c>
      <c r="F409" s="289"/>
      <c r="G409" s="289"/>
      <c r="H409" s="289"/>
      <c r="I409" s="290" t="s">
        <v>205</v>
      </c>
      <c r="J409" s="290"/>
      <c r="K409" s="290"/>
      <c r="L409" s="47">
        <v>33</v>
      </c>
      <c r="M409" s="262">
        <v>2863.58</v>
      </c>
      <c r="N409" s="47">
        <v>100</v>
      </c>
      <c r="O409" s="291">
        <v>231.41</v>
      </c>
      <c r="P409" s="291"/>
      <c r="Q409" s="291"/>
      <c r="R409" s="262">
        <v>86.78</v>
      </c>
      <c r="S409" s="262">
        <v>318.19</v>
      </c>
      <c r="U409" s="149">
        <f t="shared" si="29"/>
        <v>53804</v>
      </c>
      <c r="V409" s="146">
        <f t="shared" si="30"/>
        <v>3.6666666666666665</v>
      </c>
      <c r="W409" s="150">
        <f t="shared" si="31"/>
        <v>29.333333333333332</v>
      </c>
      <c r="X409" s="146">
        <f t="shared" si="33"/>
        <v>29.333333333333332</v>
      </c>
    </row>
    <row r="410" spans="1:24" ht="9.75" customHeight="1" x14ac:dyDescent="0.25">
      <c r="A410" s="288">
        <v>1046</v>
      </c>
      <c r="B410" s="288"/>
      <c r="D410" s="258" t="s">
        <v>292</v>
      </c>
      <c r="E410" s="289">
        <v>41790</v>
      </c>
      <c r="F410" s="289"/>
      <c r="G410" s="289"/>
      <c r="H410" s="289"/>
      <c r="I410" s="290" t="s">
        <v>205</v>
      </c>
      <c r="J410" s="290"/>
      <c r="K410" s="290"/>
      <c r="L410" s="47">
        <v>33</v>
      </c>
      <c r="M410" s="262">
        <v>2450.54</v>
      </c>
      <c r="N410" s="47">
        <v>100</v>
      </c>
      <c r="O410" s="291">
        <v>191.84</v>
      </c>
      <c r="P410" s="291"/>
      <c r="Q410" s="291"/>
      <c r="R410" s="262">
        <v>74.260000000000005</v>
      </c>
      <c r="S410" s="262">
        <v>266.10000000000002</v>
      </c>
      <c r="U410" s="149">
        <f t="shared" si="29"/>
        <v>53835</v>
      </c>
      <c r="V410" s="146">
        <f t="shared" si="30"/>
        <v>3.5833333333333335</v>
      </c>
      <c r="W410" s="150">
        <f t="shared" si="31"/>
        <v>29.416666666666668</v>
      </c>
      <c r="X410" s="146">
        <f t="shared" si="33"/>
        <v>29.416666666666668</v>
      </c>
    </row>
    <row r="411" spans="1:24" ht="9.75" customHeight="1" x14ac:dyDescent="0.25">
      <c r="A411" s="288">
        <v>1049</v>
      </c>
      <c r="B411" s="288"/>
      <c r="D411" s="258" t="s">
        <v>292</v>
      </c>
      <c r="E411" s="289">
        <v>41820</v>
      </c>
      <c r="F411" s="289"/>
      <c r="G411" s="289"/>
      <c r="H411" s="289"/>
      <c r="I411" s="290" t="s">
        <v>205</v>
      </c>
      <c r="J411" s="290"/>
      <c r="K411" s="290"/>
      <c r="L411" s="47">
        <v>33</v>
      </c>
      <c r="M411" s="262">
        <v>23776.37</v>
      </c>
      <c r="N411" s="47">
        <v>100</v>
      </c>
      <c r="O411" s="291">
        <v>1801.25</v>
      </c>
      <c r="P411" s="291"/>
      <c r="Q411" s="291"/>
      <c r="R411" s="262">
        <v>720.5</v>
      </c>
      <c r="S411" s="262">
        <v>2521.75</v>
      </c>
      <c r="U411" s="149">
        <f t="shared" si="29"/>
        <v>53865</v>
      </c>
      <c r="V411" s="146">
        <f t="shared" si="30"/>
        <v>3.5</v>
      </c>
      <c r="W411" s="150">
        <f t="shared" si="31"/>
        <v>29.5</v>
      </c>
      <c r="X411" s="146">
        <f t="shared" si="33"/>
        <v>29.5</v>
      </c>
    </row>
    <row r="412" spans="1:24" ht="9.75" customHeight="1" x14ac:dyDescent="0.25">
      <c r="A412" s="288">
        <v>1052</v>
      </c>
      <c r="B412" s="288"/>
      <c r="D412" s="258" t="s">
        <v>292</v>
      </c>
      <c r="E412" s="289">
        <v>41851</v>
      </c>
      <c r="F412" s="289"/>
      <c r="G412" s="289"/>
      <c r="H412" s="289"/>
      <c r="I412" s="290" t="s">
        <v>205</v>
      </c>
      <c r="J412" s="290"/>
      <c r="K412" s="290"/>
      <c r="L412" s="47">
        <v>33</v>
      </c>
      <c r="M412" s="262">
        <v>12308.220000000001</v>
      </c>
      <c r="N412" s="47">
        <v>100</v>
      </c>
      <c r="O412" s="291">
        <v>901.37</v>
      </c>
      <c r="P412" s="291"/>
      <c r="Q412" s="291"/>
      <c r="R412" s="262">
        <v>372.98</v>
      </c>
      <c r="S412" s="262">
        <v>1274.3499999999999</v>
      </c>
      <c r="U412" s="149">
        <f t="shared" si="29"/>
        <v>53896</v>
      </c>
      <c r="V412" s="146">
        <f t="shared" si="30"/>
        <v>3.4166666666666665</v>
      </c>
      <c r="W412" s="150">
        <f t="shared" si="31"/>
        <v>29.583333333333332</v>
      </c>
      <c r="X412" s="146">
        <f t="shared" si="33"/>
        <v>29.583333333333332</v>
      </c>
    </row>
    <row r="413" spans="1:24" ht="9.75" customHeight="1" x14ac:dyDescent="0.25">
      <c r="A413" s="288">
        <v>1056</v>
      </c>
      <c r="B413" s="288"/>
      <c r="D413" s="258" t="s">
        <v>292</v>
      </c>
      <c r="E413" s="289">
        <v>41882</v>
      </c>
      <c r="F413" s="289"/>
      <c r="G413" s="289"/>
      <c r="H413" s="289"/>
      <c r="I413" s="290" t="s">
        <v>205</v>
      </c>
      <c r="J413" s="290"/>
      <c r="K413" s="290"/>
      <c r="L413" s="47">
        <v>33</v>
      </c>
      <c r="M413" s="262">
        <v>12060.48</v>
      </c>
      <c r="N413" s="47">
        <v>100</v>
      </c>
      <c r="O413" s="291">
        <v>852.76</v>
      </c>
      <c r="P413" s="291"/>
      <c r="Q413" s="291"/>
      <c r="R413" s="262">
        <v>365.47</v>
      </c>
      <c r="S413" s="262">
        <v>1218.23</v>
      </c>
      <c r="U413" s="149">
        <f t="shared" si="29"/>
        <v>53927</v>
      </c>
      <c r="V413" s="146">
        <f t="shared" si="30"/>
        <v>3.3333333333333335</v>
      </c>
      <c r="W413" s="150">
        <f t="shared" si="31"/>
        <v>29.666666666666668</v>
      </c>
      <c r="X413" s="146">
        <f t="shared" si="33"/>
        <v>29.666666666666668</v>
      </c>
    </row>
    <row r="414" spans="1:24" ht="9.75" customHeight="1" x14ac:dyDescent="0.25">
      <c r="A414" s="288">
        <v>1059</v>
      </c>
      <c r="B414" s="288"/>
      <c r="D414" s="258" t="s">
        <v>292</v>
      </c>
      <c r="E414" s="289">
        <v>41912</v>
      </c>
      <c r="F414" s="289"/>
      <c r="G414" s="289"/>
      <c r="H414" s="289"/>
      <c r="I414" s="290" t="s">
        <v>205</v>
      </c>
      <c r="J414" s="290"/>
      <c r="K414" s="290"/>
      <c r="L414" s="47">
        <v>33</v>
      </c>
      <c r="M414" s="262">
        <v>35033.910000000003</v>
      </c>
      <c r="N414" s="47">
        <v>100</v>
      </c>
      <c r="O414" s="291">
        <v>2388.67</v>
      </c>
      <c r="P414" s="291"/>
      <c r="Q414" s="291"/>
      <c r="R414" s="262">
        <v>1061.6300000000001</v>
      </c>
      <c r="S414" s="262">
        <v>3450.3</v>
      </c>
      <c r="U414" s="149">
        <f t="shared" si="29"/>
        <v>53957</v>
      </c>
      <c r="V414" s="146">
        <f t="shared" si="30"/>
        <v>3.25</v>
      </c>
      <c r="W414" s="150">
        <f t="shared" si="31"/>
        <v>29.75</v>
      </c>
      <c r="X414" s="146">
        <f t="shared" si="33"/>
        <v>29.75</v>
      </c>
    </row>
    <row r="415" spans="1:24" ht="9.75" customHeight="1" x14ac:dyDescent="0.25">
      <c r="A415" s="288">
        <v>1062</v>
      </c>
      <c r="B415" s="288"/>
      <c r="D415" s="258" t="s">
        <v>292</v>
      </c>
      <c r="E415" s="289">
        <v>41943</v>
      </c>
      <c r="F415" s="289"/>
      <c r="G415" s="289"/>
      <c r="H415" s="289"/>
      <c r="I415" s="290" t="s">
        <v>205</v>
      </c>
      <c r="J415" s="290"/>
      <c r="K415" s="290"/>
      <c r="L415" s="47">
        <v>33</v>
      </c>
      <c r="M415" s="262">
        <v>7500.4800000000005</v>
      </c>
      <c r="N415" s="47">
        <v>100</v>
      </c>
      <c r="O415" s="291">
        <v>492.46000000000004</v>
      </c>
      <c r="P415" s="291"/>
      <c r="Q415" s="291"/>
      <c r="R415" s="262">
        <v>227.29</v>
      </c>
      <c r="S415" s="262">
        <v>719.75</v>
      </c>
      <c r="U415" s="149">
        <f t="shared" si="29"/>
        <v>53988</v>
      </c>
      <c r="V415" s="146">
        <f t="shared" si="30"/>
        <v>3.1666666666666665</v>
      </c>
      <c r="W415" s="150">
        <f t="shared" si="31"/>
        <v>29.833333333333332</v>
      </c>
      <c r="X415" s="146">
        <f t="shared" si="33"/>
        <v>29.833333333333332</v>
      </c>
    </row>
    <row r="416" spans="1:24" ht="9.75" customHeight="1" x14ac:dyDescent="0.25">
      <c r="A416" s="288">
        <v>1065</v>
      </c>
      <c r="B416" s="288"/>
      <c r="D416" s="258" t="s">
        <v>292</v>
      </c>
      <c r="E416" s="289">
        <v>41973</v>
      </c>
      <c r="F416" s="289"/>
      <c r="G416" s="289"/>
      <c r="H416" s="289"/>
      <c r="I416" s="290" t="s">
        <v>205</v>
      </c>
      <c r="J416" s="290"/>
      <c r="K416" s="290"/>
      <c r="L416" s="47">
        <v>33</v>
      </c>
      <c r="M416" s="262">
        <v>1136.6500000000001</v>
      </c>
      <c r="N416" s="47">
        <v>100</v>
      </c>
      <c r="O416" s="291">
        <v>71.75</v>
      </c>
      <c r="P416" s="291"/>
      <c r="Q416" s="291"/>
      <c r="R416" s="262">
        <v>34.44</v>
      </c>
      <c r="S416" s="262">
        <v>106.19</v>
      </c>
      <c r="U416" s="149">
        <f t="shared" si="29"/>
        <v>54018</v>
      </c>
      <c r="V416" s="146">
        <f t="shared" si="30"/>
        <v>3.0833333333333335</v>
      </c>
      <c r="W416" s="150">
        <f t="shared" si="31"/>
        <v>29.916666666666668</v>
      </c>
      <c r="X416" s="146">
        <f t="shared" si="33"/>
        <v>29.916666666666668</v>
      </c>
    </row>
    <row r="417" spans="1:24" ht="9.75" customHeight="1" x14ac:dyDescent="0.25">
      <c r="A417" s="288">
        <v>1068</v>
      </c>
      <c r="B417" s="288"/>
      <c r="D417" s="258" t="s">
        <v>292</v>
      </c>
      <c r="E417" s="289">
        <v>42004</v>
      </c>
      <c r="F417" s="289"/>
      <c r="G417" s="289"/>
      <c r="H417" s="289"/>
      <c r="I417" s="290" t="s">
        <v>205</v>
      </c>
      <c r="J417" s="290"/>
      <c r="K417" s="290"/>
      <c r="L417" s="47">
        <v>33</v>
      </c>
      <c r="M417" s="262">
        <v>1650.4</v>
      </c>
      <c r="N417" s="47">
        <v>100</v>
      </c>
      <c r="O417" s="291">
        <v>100.02</v>
      </c>
      <c r="P417" s="291"/>
      <c r="Q417" s="291"/>
      <c r="R417" s="262">
        <v>50.01</v>
      </c>
      <c r="S417" s="262">
        <v>150.03</v>
      </c>
      <c r="U417" s="149">
        <f t="shared" si="29"/>
        <v>54049</v>
      </c>
      <c r="V417" s="146">
        <f t="shared" si="30"/>
        <v>3</v>
      </c>
      <c r="W417" s="150">
        <f t="shared" si="31"/>
        <v>30</v>
      </c>
      <c r="X417" s="146">
        <f t="shared" si="33"/>
        <v>30</v>
      </c>
    </row>
    <row r="418" spans="1:24" ht="9.75" customHeight="1" x14ac:dyDescent="0.25">
      <c r="A418" s="288">
        <v>1071</v>
      </c>
      <c r="B418" s="288"/>
      <c r="D418" s="258" t="s">
        <v>292</v>
      </c>
      <c r="E418" s="289">
        <v>42035</v>
      </c>
      <c r="F418" s="289"/>
      <c r="G418" s="289"/>
      <c r="H418" s="289"/>
      <c r="I418" s="290" t="s">
        <v>205</v>
      </c>
      <c r="J418" s="290"/>
      <c r="K418" s="290"/>
      <c r="L418" s="47">
        <v>33</v>
      </c>
      <c r="M418" s="262">
        <v>662.78</v>
      </c>
      <c r="N418" s="47">
        <v>100</v>
      </c>
      <c r="O418" s="291">
        <v>38.49</v>
      </c>
      <c r="P418" s="291"/>
      <c r="Q418" s="291"/>
      <c r="R418" s="262">
        <v>20.079999999999998</v>
      </c>
      <c r="S418" s="262">
        <v>58.57</v>
      </c>
      <c r="U418" s="149">
        <f t="shared" si="29"/>
        <v>54080</v>
      </c>
      <c r="V418" s="146">
        <f t="shared" si="30"/>
        <v>2.9166666666666665</v>
      </c>
      <c r="W418" s="150">
        <f t="shared" si="31"/>
        <v>30.083333333333332</v>
      </c>
      <c r="X418" s="146">
        <f t="shared" si="33"/>
        <v>30.083333333333332</v>
      </c>
    </row>
    <row r="419" spans="1:24" ht="9.75" customHeight="1" x14ac:dyDescent="0.25">
      <c r="A419" s="288">
        <v>1074</v>
      </c>
      <c r="B419" s="288"/>
      <c r="D419" s="258" t="s">
        <v>292</v>
      </c>
      <c r="E419" s="289">
        <v>42063</v>
      </c>
      <c r="F419" s="289"/>
      <c r="G419" s="289"/>
      <c r="H419" s="289"/>
      <c r="I419" s="290" t="s">
        <v>205</v>
      </c>
      <c r="J419" s="290"/>
      <c r="K419" s="290"/>
      <c r="L419" s="47">
        <v>33</v>
      </c>
      <c r="M419" s="262">
        <v>1215.1400000000001</v>
      </c>
      <c r="N419" s="47">
        <v>100</v>
      </c>
      <c r="O419" s="291">
        <v>67.5</v>
      </c>
      <c r="P419" s="291"/>
      <c r="Q419" s="291"/>
      <c r="R419" s="262">
        <v>36.82</v>
      </c>
      <c r="S419" s="262">
        <v>104.32000000000001</v>
      </c>
      <c r="U419" s="149">
        <f t="shared" si="29"/>
        <v>54108</v>
      </c>
      <c r="V419" s="146">
        <f t="shared" si="30"/>
        <v>2.8361111111111112</v>
      </c>
      <c r="W419" s="150">
        <f t="shared" si="31"/>
        <v>30.163888888888888</v>
      </c>
      <c r="X419" s="146">
        <f t="shared" si="33"/>
        <v>30.163888888888888</v>
      </c>
    </row>
    <row r="420" spans="1:24" ht="9.75" customHeight="1" x14ac:dyDescent="0.25">
      <c r="A420" s="288">
        <v>1076</v>
      </c>
      <c r="B420" s="288"/>
      <c r="D420" s="258" t="s">
        <v>292</v>
      </c>
      <c r="E420" s="289">
        <v>42094</v>
      </c>
      <c r="F420" s="289"/>
      <c r="G420" s="289"/>
      <c r="H420" s="289"/>
      <c r="I420" s="290" t="s">
        <v>205</v>
      </c>
      <c r="J420" s="290"/>
      <c r="K420" s="290"/>
      <c r="L420" s="47">
        <v>33</v>
      </c>
      <c r="M420" s="262">
        <v>1119.46</v>
      </c>
      <c r="N420" s="47">
        <v>100</v>
      </c>
      <c r="O420" s="291">
        <v>59.36</v>
      </c>
      <c r="P420" s="291"/>
      <c r="Q420" s="291"/>
      <c r="R420" s="262">
        <v>33.92</v>
      </c>
      <c r="S420" s="262">
        <v>93.28</v>
      </c>
      <c r="U420" s="149">
        <f t="shared" si="29"/>
        <v>54139</v>
      </c>
      <c r="V420" s="146">
        <f t="shared" si="30"/>
        <v>2.75</v>
      </c>
      <c r="W420" s="150">
        <f t="shared" si="31"/>
        <v>30.25</v>
      </c>
      <c r="X420" s="146">
        <f t="shared" si="33"/>
        <v>30.25</v>
      </c>
    </row>
    <row r="421" spans="1:24" ht="9.75" customHeight="1" x14ac:dyDescent="0.25">
      <c r="A421" s="288">
        <v>1079</v>
      </c>
      <c r="B421" s="288"/>
      <c r="D421" s="258" t="s">
        <v>292</v>
      </c>
      <c r="E421" s="289">
        <v>42124</v>
      </c>
      <c r="F421" s="289"/>
      <c r="G421" s="289"/>
      <c r="H421" s="289"/>
      <c r="I421" s="290" t="s">
        <v>205</v>
      </c>
      <c r="J421" s="290"/>
      <c r="K421" s="290"/>
      <c r="L421" s="47">
        <v>33</v>
      </c>
      <c r="M421" s="262">
        <v>1557.69</v>
      </c>
      <c r="N421" s="47">
        <v>100</v>
      </c>
      <c r="O421" s="291">
        <v>78.67</v>
      </c>
      <c r="P421" s="291"/>
      <c r="Q421" s="291"/>
      <c r="R421" s="262">
        <v>47.2</v>
      </c>
      <c r="S421" s="262">
        <v>125.87</v>
      </c>
      <c r="U421" s="149">
        <f t="shared" si="29"/>
        <v>54169</v>
      </c>
      <c r="V421" s="146">
        <f t="shared" si="30"/>
        <v>2.6666666666666665</v>
      </c>
      <c r="W421" s="150">
        <f t="shared" si="31"/>
        <v>30.333333333333332</v>
      </c>
      <c r="X421" s="146">
        <f t="shared" si="33"/>
        <v>30.333333333333332</v>
      </c>
    </row>
    <row r="422" spans="1:24" ht="9.75" customHeight="1" x14ac:dyDescent="0.25">
      <c r="A422" s="288">
        <v>1082</v>
      </c>
      <c r="B422" s="288"/>
      <c r="D422" s="258" t="s">
        <v>292</v>
      </c>
      <c r="E422" s="289">
        <v>42155</v>
      </c>
      <c r="F422" s="289"/>
      <c r="G422" s="289"/>
      <c r="H422" s="289"/>
      <c r="I422" s="290" t="s">
        <v>205</v>
      </c>
      <c r="J422" s="290"/>
      <c r="K422" s="290"/>
      <c r="L422" s="47">
        <v>33</v>
      </c>
      <c r="M422" s="262">
        <v>1101.46</v>
      </c>
      <c r="N422" s="47">
        <v>100</v>
      </c>
      <c r="O422" s="291">
        <v>52.85</v>
      </c>
      <c r="P422" s="291"/>
      <c r="Q422" s="291"/>
      <c r="R422" s="262">
        <v>33.380000000000003</v>
      </c>
      <c r="S422" s="262">
        <v>86.23</v>
      </c>
      <c r="U422" s="149">
        <f t="shared" ref="U422:U449" si="34">E422+(L422*365)</f>
        <v>54200</v>
      </c>
      <c r="V422" s="146">
        <f t="shared" ref="V422:V449" si="35">YEARFRAC(E422,$V$14)</f>
        <v>2.5833333333333335</v>
      </c>
      <c r="W422" s="150">
        <f t="shared" ref="W422:W449" si="36">IF(V422&gt;L422,0,L422-V422)</f>
        <v>30.416666666666668</v>
      </c>
      <c r="X422" s="146">
        <f t="shared" si="33"/>
        <v>30.416666666666668</v>
      </c>
    </row>
    <row r="423" spans="1:24" ht="9.75" customHeight="1" x14ac:dyDescent="0.25">
      <c r="A423" s="288">
        <v>1085</v>
      </c>
      <c r="B423" s="288"/>
      <c r="D423" s="258" t="s">
        <v>292</v>
      </c>
      <c r="E423" s="289">
        <v>42185</v>
      </c>
      <c r="F423" s="289"/>
      <c r="G423" s="289"/>
      <c r="H423" s="289"/>
      <c r="I423" s="290" t="s">
        <v>205</v>
      </c>
      <c r="J423" s="290"/>
      <c r="K423" s="290"/>
      <c r="L423" s="47">
        <v>33</v>
      </c>
      <c r="M423" s="262">
        <v>1128.46</v>
      </c>
      <c r="N423" s="47">
        <v>100</v>
      </c>
      <c r="O423" s="291">
        <v>51.300000000000004</v>
      </c>
      <c r="P423" s="291"/>
      <c r="Q423" s="291"/>
      <c r="R423" s="262">
        <v>34.200000000000003</v>
      </c>
      <c r="S423" s="262">
        <v>85.5</v>
      </c>
      <c r="U423" s="149">
        <f t="shared" si="34"/>
        <v>54230</v>
      </c>
      <c r="V423" s="146">
        <f t="shared" si="35"/>
        <v>2.5</v>
      </c>
      <c r="W423" s="150">
        <f t="shared" si="36"/>
        <v>30.5</v>
      </c>
      <c r="X423" s="146">
        <f t="shared" si="33"/>
        <v>30.5</v>
      </c>
    </row>
    <row r="424" spans="1:24" ht="9.75" customHeight="1" x14ac:dyDescent="0.25">
      <c r="A424" s="288">
        <v>1088</v>
      </c>
      <c r="B424" s="288"/>
      <c r="D424" s="258" t="s">
        <v>292</v>
      </c>
      <c r="E424" s="289">
        <v>42216</v>
      </c>
      <c r="F424" s="289"/>
      <c r="G424" s="289"/>
      <c r="H424" s="289"/>
      <c r="I424" s="290" t="s">
        <v>205</v>
      </c>
      <c r="J424" s="290"/>
      <c r="K424" s="290"/>
      <c r="L424" s="47">
        <v>33</v>
      </c>
      <c r="M424" s="262">
        <v>1284.6300000000001</v>
      </c>
      <c r="N424" s="47">
        <v>100</v>
      </c>
      <c r="O424" s="291">
        <v>55.15</v>
      </c>
      <c r="P424" s="291"/>
      <c r="Q424" s="291"/>
      <c r="R424" s="262">
        <v>38.93</v>
      </c>
      <c r="S424" s="262">
        <v>94.08</v>
      </c>
      <c r="U424" s="149">
        <f t="shared" si="34"/>
        <v>54261</v>
      </c>
      <c r="V424" s="146">
        <f t="shared" si="35"/>
        <v>2.4166666666666665</v>
      </c>
      <c r="W424" s="150">
        <f t="shared" si="36"/>
        <v>30.583333333333332</v>
      </c>
      <c r="X424" s="146">
        <f t="shared" si="33"/>
        <v>30.583333333333332</v>
      </c>
    </row>
    <row r="425" spans="1:24" ht="9.75" customHeight="1" x14ac:dyDescent="0.25">
      <c r="A425" s="288">
        <v>1091</v>
      </c>
      <c r="B425" s="288"/>
      <c r="D425" s="258" t="s">
        <v>292</v>
      </c>
      <c r="E425" s="289">
        <v>42369</v>
      </c>
      <c r="F425" s="289"/>
      <c r="G425" s="289"/>
      <c r="H425" s="289"/>
      <c r="I425" s="290" t="s">
        <v>205</v>
      </c>
      <c r="J425" s="290"/>
      <c r="K425" s="290"/>
      <c r="L425" s="47">
        <v>33</v>
      </c>
      <c r="M425" s="262">
        <v>1035.54</v>
      </c>
      <c r="N425" s="47">
        <v>100</v>
      </c>
      <c r="O425" s="291">
        <v>31.38</v>
      </c>
      <c r="P425" s="291"/>
      <c r="Q425" s="291"/>
      <c r="R425" s="262">
        <v>31.38</v>
      </c>
      <c r="S425" s="262">
        <v>62.76</v>
      </c>
      <c r="U425" s="149">
        <f t="shared" si="34"/>
        <v>54414</v>
      </c>
      <c r="V425" s="146">
        <f t="shared" si="35"/>
        <v>2</v>
      </c>
      <c r="W425" s="150">
        <f t="shared" si="36"/>
        <v>31</v>
      </c>
      <c r="X425" s="146">
        <f t="shared" si="33"/>
        <v>31</v>
      </c>
    </row>
    <row r="426" spans="1:24" ht="9.75" customHeight="1" x14ac:dyDescent="0.25">
      <c r="A426" s="288">
        <v>1094</v>
      </c>
      <c r="B426" s="288"/>
      <c r="D426" s="258" t="s">
        <v>292</v>
      </c>
      <c r="E426" s="289">
        <v>42370</v>
      </c>
      <c r="F426" s="289"/>
      <c r="G426" s="289"/>
      <c r="H426" s="289"/>
      <c r="I426" s="290" t="s">
        <v>205</v>
      </c>
      <c r="J426" s="290"/>
      <c r="K426" s="290"/>
      <c r="L426" s="47">
        <v>33</v>
      </c>
      <c r="M426" s="262">
        <v>5120.1899999999996</v>
      </c>
      <c r="N426" s="47">
        <v>100</v>
      </c>
      <c r="O426" s="291">
        <v>155.16</v>
      </c>
      <c r="P426" s="291"/>
      <c r="Q426" s="291"/>
      <c r="R426" s="262">
        <v>155.16</v>
      </c>
      <c r="S426" s="262">
        <v>310.32</v>
      </c>
      <c r="U426" s="149">
        <f t="shared" si="34"/>
        <v>54415</v>
      </c>
      <c r="V426" s="146">
        <f t="shared" si="35"/>
        <v>2</v>
      </c>
      <c r="W426" s="150">
        <f t="shared" si="36"/>
        <v>31</v>
      </c>
      <c r="X426" s="146">
        <f t="shared" si="33"/>
        <v>31</v>
      </c>
    </row>
    <row r="427" spans="1:24" ht="9.75" customHeight="1" x14ac:dyDescent="0.25">
      <c r="A427" s="288">
        <v>1103</v>
      </c>
      <c r="B427" s="288"/>
      <c r="D427" s="258" t="s">
        <v>292</v>
      </c>
      <c r="E427" s="289">
        <v>42429</v>
      </c>
      <c r="F427" s="289"/>
      <c r="G427" s="289"/>
      <c r="H427" s="289"/>
      <c r="I427" s="290" t="s">
        <v>205</v>
      </c>
      <c r="J427" s="290"/>
      <c r="K427" s="290"/>
      <c r="L427" s="47">
        <v>33</v>
      </c>
      <c r="M427" s="262">
        <v>3342.69</v>
      </c>
      <c r="N427" s="47">
        <v>100</v>
      </c>
      <c r="O427" s="291">
        <v>84.41</v>
      </c>
      <c r="P427" s="291"/>
      <c r="Q427" s="291"/>
      <c r="R427" s="262">
        <v>101.29</v>
      </c>
      <c r="S427" s="262">
        <v>185.70000000000002</v>
      </c>
      <c r="U427" s="149">
        <f t="shared" si="34"/>
        <v>54474</v>
      </c>
      <c r="V427" s="146">
        <f t="shared" si="35"/>
        <v>1.836111111111111</v>
      </c>
      <c r="W427" s="150">
        <f t="shared" si="36"/>
        <v>31.163888888888888</v>
      </c>
      <c r="X427" s="146">
        <f t="shared" si="33"/>
        <v>31.163888888888888</v>
      </c>
    </row>
    <row r="428" spans="1:24" ht="9.75" customHeight="1" x14ac:dyDescent="0.25">
      <c r="A428" s="288">
        <v>1108</v>
      </c>
      <c r="B428" s="288"/>
      <c r="D428" s="258" t="s">
        <v>292</v>
      </c>
      <c r="E428" s="289">
        <v>42460</v>
      </c>
      <c r="F428" s="289"/>
      <c r="G428" s="289"/>
      <c r="H428" s="289"/>
      <c r="I428" s="290" t="s">
        <v>205</v>
      </c>
      <c r="J428" s="290"/>
      <c r="K428" s="290"/>
      <c r="L428" s="47">
        <v>33</v>
      </c>
      <c r="M428" s="262">
        <v>1846.04</v>
      </c>
      <c r="N428" s="47">
        <v>100</v>
      </c>
      <c r="O428" s="291">
        <v>41.96</v>
      </c>
      <c r="P428" s="291"/>
      <c r="Q428" s="291"/>
      <c r="R428" s="262">
        <v>55.94</v>
      </c>
      <c r="S428" s="262">
        <v>97.9</v>
      </c>
      <c r="U428" s="149">
        <f t="shared" si="34"/>
        <v>54505</v>
      </c>
      <c r="V428" s="146">
        <f t="shared" si="35"/>
        <v>1.75</v>
      </c>
      <c r="W428" s="150">
        <f t="shared" si="36"/>
        <v>31.25</v>
      </c>
      <c r="X428" s="146">
        <f t="shared" si="33"/>
        <v>31.25</v>
      </c>
    </row>
    <row r="429" spans="1:24" ht="9.75" customHeight="1" x14ac:dyDescent="0.25">
      <c r="A429" s="288">
        <v>1112</v>
      </c>
      <c r="B429" s="288"/>
      <c r="D429" s="258" t="s">
        <v>292</v>
      </c>
      <c r="E429" s="289">
        <v>42490</v>
      </c>
      <c r="F429" s="289"/>
      <c r="G429" s="289"/>
      <c r="H429" s="289"/>
      <c r="I429" s="290" t="s">
        <v>205</v>
      </c>
      <c r="J429" s="290"/>
      <c r="K429" s="290"/>
      <c r="L429" s="47">
        <v>33</v>
      </c>
      <c r="M429" s="262">
        <v>1389.69</v>
      </c>
      <c r="N429" s="47">
        <v>100</v>
      </c>
      <c r="O429" s="291">
        <v>28.07</v>
      </c>
      <c r="P429" s="291"/>
      <c r="Q429" s="291"/>
      <c r="R429" s="262">
        <v>42.11</v>
      </c>
      <c r="S429" s="262">
        <v>70.180000000000007</v>
      </c>
      <c r="U429" s="149">
        <f t="shared" si="34"/>
        <v>54535</v>
      </c>
      <c r="V429" s="146">
        <f t="shared" si="35"/>
        <v>1.6666666666666667</v>
      </c>
      <c r="W429" s="150">
        <f t="shared" si="36"/>
        <v>31.333333333333332</v>
      </c>
      <c r="X429" s="146">
        <f t="shared" si="33"/>
        <v>31.333333333333332</v>
      </c>
    </row>
    <row r="430" spans="1:24" ht="9.75" customHeight="1" x14ac:dyDescent="0.25">
      <c r="A430" s="288">
        <v>1115</v>
      </c>
      <c r="B430" s="288"/>
      <c r="D430" s="258" t="s">
        <v>292</v>
      </c>
      <c r="E430" s="289">
        <v>42521</v>
      </c>
      <c r="F430" s="289"/>
      <c r="G430" s="289"/>
      <c r="H430" s="289"/>
      <c r="I430" s="290" t="s">
        <v>205</v>
      </c>
      <c r="J430" s="290"/>
      <c r="K430" s="290"/>
      <c r="L430" s="47">
        <v>33</v>
      </c>
      <c r="M430" s="262">
        <v>1618.55</v>
      </c>
      <c r="N430" s="47">
        <v>100</v>
      </c>
      <c r="O430" s="291">
        <v>28.61</v>
      </c>
      <c r="P430" s="291"/>
      <c r="Q430" s="291"/>
      <c r="R430" s="262">
        <v>49.050000000000004</v>
      </c>
      <c r="S430" s="262">
        <v>77.66</v>
      </c>
      <c r="U430" s="149">
        <f t="shared" si="34"/>
        <v>54566</v>
      </c>
      <c r="V430" s="146">
        <f t="shared" si="35"/>
        <v>1.5833333333333333</v>
      </c>
      <c r="W430" s="150">
        <f t="shared" si="36"/>
        <v>31.416666666666668</v>
      </c>
      <c r="X430" s="146">
        <f t="shared" ref="X430:X449" si="37">IF(W430=0,0,W430)</f>
        <v>31.416666666666668</v>
      </c>
    </row>
    <row r="431" spans="1:24" ht="9.75" customHeight="1" x14ac:dyDescent="0.25">
      <c r="A431" s="288">
        <v>1119</v>
      </c>
      <c r="B431" s="288"/>
      <c r="D431" s="258" t="s">
        <v>292</v>
      </c>
      <c r="E431" s="289">
        <v>42551</v>
      </c>
      <c r="F431" s="289"/>
      <c r="G431" s="289"/>
      <c r="H431" s="289"/>
      <c r="I431" s="290" t="s">
        <v>205</v>
      </c>
      <c r="J431" s="290"/>
      <c r="K431" s="290"/>
      <c r="L431" s="47">
        <v>33</v>
      </c>
      <c r="M431" s="262">
        <v>5290.29</v>
      </c>
      <c r="N431" s="47">
        <v>100</v>
      </c>
      <c r="O431" s="291">
        <v>80.16</v>
      </c>
      <c r="P431" s="291"/>
      <c r="Q431" s="291"/>
      <c r="R431" s="262">
        <v>160.31</v>
      </c>
      <c r="S431" s="262">
        <v>240.47</v>
      </c>
      <c r="U431" s="149">
        <f t="shared" si="34"/>
        <v>54596</v>
      </c>
      <c r="V431" s="146">
        <f t="shared" si="35"/>
        <v>1.5</v>
      </c>
      <c r="W431" s="150">
        <f t="shared" si="36"/>
        <v>31.5</v>
      </c>
      <c r="X431" s="146">
        <f t="shared" si="37"/>
        <v>31.5</v>
      </c>
    </row>
    <row r="432" spans="1:24" ht="9.75" customHeight="1" x14ac:dyDescent="0.25">
      <c r="A432" s="288">
        <v>1123</v>
      </c>
      <c r="B432" s="288"/>
      <c r="D432" s="258" t="s">
        <v>292</v>
      </c>
      <c r="E432" s="289">
        <v>42582</v>
      </c>
      <c r="F432" s="289"/>
      <c r="G432" s="289"/>
      <c r="H432" s="289"/>
      <c r="I432" s="290" t="s">
        <v>205</v>
      </c>
      <c r="J432" s="290"/>
      <c r="K432" s="290"/>
      <c r="L432" s="47">
        <v>33</v>
      </c>
      <c r="M432" s="262">
        <v>1298.08</v>
      </c>
      <c r="N432" s="47">
        <v>100</v>
      </c>
      <c r="O432" s="291">
        <v>16.39</v>
      </c>
      <c r="P432" s="291"/>
      <c r="Q432" s="291"/>
      <c r="R432" s="262">
        <v>39.340000000000003</v>
      </c>
      <c r="S432" s="262">
        <v>55.730000000000004</v>
      </c>
      <c r="U432" s="149">
        <f t="shared" si="34"/>
        <v>54627</v>
      </c>
      <c r="V432" s="146">
        <f t="shared" si="35"/>
        <v>1.4166666666666667</v>
      </c>
      <c r="W432" s="150">
        <f t="shared" si="36"/>
        <v>31.583333333333332</v>
      </c>
      <c r="X432" s="146">
        <f t="shared" si="37"/>
        <v>31.583333333333332</v>
      </c>
    </row>
    <row r="433" spans="1:24" ht="9.75" customHeight="1" x14ac:dyDescent="0.25">
      <c r="A433" s="288">
        <v>1127</v>
      </c>
      <c r="B433" s="288"/>
      <c r="D433" s="258" t="s">
        <v>292</v>
      </c>
      <c r="E433" s="289">
        <v>42613</v>
      </c>
      <c r="F433" s="289"/>
      <c r="G433" s="289"/>
      <c r="H433" s="289"/>
      <c r="I433" s="290" t="s">
        <v>205</v>
      </c>
      <c r="J433" s="290"/>
      <c r="K433" s="290"/>
      <c r="L433" s="47">
        <v>33</v>
      </c>
      <c r="M433" s="262">
        <v>5353.12</v>
      </c>
      <c r="N433" s="47">
        <v>100</v>
      </c>
      <c r="O433" s="291">
        <v>54.07</v>
      </c>
      <c r="P433" s="291"/>
      <c r="Q433" s="291"/>
      <c r="R433" s="262">
        <v>162.22</v>
      </c>
      <c r="S433" s="262">
        <v>216.29</v>
      </c>
      <c r="U433" s="149">
        <f t="shared" si="34"/>
        <v>54658</v>
      </c>
      <c r="V433" s="146">
        <f t="shared" si="35"/>
        <v>1.3333333333333333</v>
      </c>
      <c r="W433" s="150">
        <f t="shared" si="36"/>
        <v>31.666666666666668</v>
      </c>
      <c r="X433" s="146">
        <f t="shared" si="37"/>
        <v>31.666666666666668</v>
      </c>
    </row>
    <row r="434" spans="1:24" ht="9.75" customHeight="1" x14ac:dyDescent="0.25">
      <c r="A434" s="288">
        <v>1130</v>
      </c>
      <c r="B434" s="288"/>
      <c r="D434" s="258" t="s">
        <v>292</v>
      </c>
      <c r="E434" s="289">
        <v>42643</v>
      </c>
      <c r="F434" s="289"/>
      <c r="G434" s="289"/>
      <c r="H434" s="289"/>
      <c r="I434" s="290" t="s">
        <v>205</v>
      </c>
      <c r="J434" s="290"/>
      <c r="K434" s="290"/>
      <c r="L434" s="47">
        <v>33</v>
      </c>
      <c r="M434" s="262">
        <v>5881.61</v>
      </c>
      <c r="N434" s="47">
        <v>100</v>
      </c>
      <c r="O434" s="291">
        <v>44.56</v>
      </c>
      <c r="P434" s="291"/>
      <c r="Q434" s="291"/>
      <c r="R434" s="262">
        <v>178.23</v>
      </c>
      <c r="S434" s="262">
        <v>222.79</v>
      </c>
      <c r="U434" s="149">
        <f t="shared" si="34"/>
        <v>54688</v>
      </c>
      <c r="V434" s="146">
        <f t="shared" si="35"/>
        <v>1.25</v>
      </c>
      <c r="W434" s="150">
        <f t="shared" si="36"/>
        <v>31.75</v>
      </c>
      <c r="X434" s="146">
        <f t="shared" si="37"/>
        <v>31.75</v>
      </c>
    </row>
    <row r="435" spans="1:24" ht="9.75" customHeight="1" x14ac:dyDescent="0.25">
      <c r="A435" s="288">
        <v>1133</v>
      </c>
      <c r="B435" s="288"/>
      <c r="D435" s="258" t="s">
        <v>292</v>
      </c>
      <c r="E435" s="289">
        <v>42674</v>
      </c>
      <c r="F435" s="289"/>
      <c r="G435" s="289"/>
      <c r="H435" s="289"/>
      <c r="I435" s="290" t="s">
        <v>205</v>
      </c>
      <c r="J435" s="290"/>
      <c r="K435" s="290"/>
      <c r="L435" s="47">
        <v>33</v>
      </c>
      <c r="M435" s="262">
        <v>4316.6000000000004</v>
      </c>
      <c r="N435" s="47">
        <v>100</v>
      </c>
      <c r="O435" s="291">
        <v>21.8</v>
      </c>
      <c r="P435" s="291"/>
      <c r="Q435" s="291"/>
      <c r="R435" s="262">
        <v>130.81</v>
      </c>
      <c r="S435" s="262">
        <v>152.61000000000001</v>
      </c>
      <c r="U435" s="149">
        <f t="shared" si="34"/>
        <v>54719</v>
      </c>
      <c r="V435" s="146">
        <f t="shared" si="35"/>
        <v>1.1666666666666667</v>
      </c>
      <c r="W435" s="150">
        <f t="shared" si="36"/>
        <v>31.833333333333332</v>
      </c>
      <c r="X435" s="146">
        <f t="shared" si="37"/>
        <v>31.833333333333332</v>
      </c>
    </row>
    <row r="436" spans="1:24" ht="9.75" customHeight="1" x14ac:dyDescent="0.25">
      <c r="A436" s="288">
        <v>1136</v>
      </c>
      <c r="B436" s="288"/>
      <c r="D436" s="258" t="s">
        <v>292</v>
      </c>
      <c r="E436" s="289">
        <v>42704</v>
      </c>
      <c r="F436" s="289"/>
      <c r="G436" s="289"/>
      <c r="H436" s="289"/>
      <c r="I436" s="290" t="s">
        <v>205</v>
      </c>
      <c r="J436" s="290"/>
      <c r="K436" s="290"/>
      <c r="L436" s="47">
        <v>33</v>
      </c>
      <c r="M436" s="262">
        <v>1311.73</v>
      </c>
      <c r="N436" s="47">
        <v>100</v>
      </c>
      <c r="O436" s="291">
        <v>3.31</v>
      </c>
      <c r="P436" s="291"/>
      <c r="Q436" s="291"/>
      <c r="R436" s="262">
        <v>39.75</v>
      </c>
      <c r="S436" s="262">
        <v>43.06</v>
      </c>
      <c r="U436" s="149">
        <f t="shared" si="34"/>
        <v>54749</v>
      </c>
      <c r="V436" s="146">
        <f t="shared" si="35"/>
        <v>1.0833333333333333</v>
      </c>
      <c r="W436" s="150">
        <f t="shared" si="36"/>
        <v>31.916666666666668</v>
      </c>
      <c r="X436" s="146">
        <f t="shared" si="37"/>
        <v>31.916666666666668</v>
      </c>
    </row>
    <row r="437" spans="1:24" ht="9.75" customHeight="1" x14ac:dyDescent="0.25">
      <c r="A437" s="288">
        <v>1139</v>
      </c>
      <c r="B437" s="288"/>
      <c r="D437" s="258" t="s">
        <v>292</v>
      </c>
      <c r="E437" s="289">
        <v>42735</v>
      </c>
      <c r="F437" s="289"/>
      <c r="G437" s="289"/>
      <c r="H437" s="289"/>
      <c r="I437" s="290" t="s">
        <v>205</v>
      </c>
      <c r="J437" s="290"/>
      <c r="K437" s="290"/>
      <c r="L437" s="47">
        <v>33</v>
      </c>
      <c r="M437" s="262">
        <v>1325.08</v>
      </c>
      <c r="N437" s="47">
        <v>100</v>
      </c>
      <c r="O437" s="291">
        <v>0</v>
      </c>
      <c r="P437" s="291"/>
      <c r="Q437" s="291"/>
      <c r="R437" s="262">
        <v>40.15</v>
      </c>
      <c r="S437" s="262">
        <v>40.15</v>
      </c>
      <c r="U437" s="149">
        <f t="shared" si="34"/>
        <v>54780</v>
      </c>
      <c r="V437" s="146">
        <f t="shared" si="35"/>
        <v>1</v>
      </c>
      <c r="W437" s="150">
        <f t="shared" si="36"/>
        <v>32</v>
      </c>
      <c r="X437" s="146">
        <f t="shared" si="37"/>
        <v>32</v>
      </c>
    </row>
    <row r="438" spans="1:24" ht="9.75" customHeight="1" x14ac:dyDescent="0.25">
      <c r="A438" s="288">
        <v>1143</v>
      </c>
      <c r="B438" s="288"/>
      <c r="D438" s="258" t="s">
        <v>292</v>
      </c>
      <c r="E438" s="289">
        <v>42766</v>
      </c>
      <c r="F438" s="289"/>
      <c r="G438" s="289"/>
      <c r="H438" s="289"/>
      <c r="I438" s="290" t="s">
        <v>205</v>
      </c>
      <c r="J438" s="290"/>
      <c r="K438" s="290"/>
      <c r="L438" s="47">
        <v>33</v>
      </c>
      <c r="M438" s="262">
        <v>504.97</v>
      </c>
      <c r="N438" s="47">
        <v>100</v>
      </c>
      <c r="O438" s="291">
        <v>0</v>
      </c>
      <c r="P438" s="291"/>
      <c r="Q438" s="291"/>
      <c r="R438" s="262">
        <v>30.86</v>
      </c>
      <c r="S438" s="262">
        <v>30.86</v>
      </c>
      <c r="U438" s="149">
        <f t="shared" si="34"/>
        <v>54811</v>
      </c>
      <c r="V438" s="146">
        <f t="shared" si="35"/>
        <v>0.91666666666666663</v>
      </c>
      <c r="W438" s="150">
        <f t="shared" si="36"/>
        <v>32.083333333333336</v>
      </c>
      <c r="X438" s="146">
        <f t="shared" si="37"/>
        <v>32.083333333333336</v>
      </c>
    </row>
    <row r="439" spans="1:24" ht="9.75" customHeight="1" x14ac:dyDescent="0.25">
      <c r="A439" s="288">
        <v>1146</v>
      </c>
      <c r="B439" s="288"/>
      <c r="D439" s="258" t="s">
        <v>292</v>
      </c>
      <c r="E439" s="289">
        <v>42794</v>
      </c>
      <c r="F439" s="289"/>
      <c r="G439" s="289"/>
      <c r="H439" s="289"/>
      <c r="I439" s="290" t="s">
        <v>205</v>
      </c>
      <c r="J439" s="290"/>
      <c r="K439" s="290"/>
      <c r="L439" s="47">
        <v>33</v>
      </c>
      <c r="M439" s="262">
        <v>7301.97</v>
      </c>
      <c r="N439" s="47">
        <v>100</v>
      </c>
      <c r="O439" s="291">
        <v>0</v>
      </c>
      <c r="P439" s="291"/>
      <c r="Q439" s="291"/>
      <c r="R439" s="262">
        <v>184.39000000000001</v>
      </c>
      <c r="S439" s="262">
        <v>184.39000000000001</v>
      </c>
      <c r="U439" s="149">
        <f t="shared" si="34"/>
        <v>54839</v>
      </c>
      <c r="V439" s="146">
        <f t="shared" si="35"/>
        <v>0.83611111111111114</v>
      </c>
      <c r="W439" s="150">
        <f t="shared" si="36"/>
        <v>32.163888888888891</v>
      </c>
      <c r="X439" s="146">
        <f t="shared" si="37"/>
        <v>32.163888888888891</v>
      </c>
    </row>
    <row r="440" spans="1:24" ht="9.75" customHeight="1" x14ac:dyDescent="0.25">
      <c r="A440" s="288">
        <v>1149</v>
      </c>
      <c r="B440" s="288"/>
      <c r="D440" s="258" t="s">
        <v>292</v>
      </c>
      <c r="E440" s="289">
        <v>42825</v>
      </c>
      <c r="F440" s="289"/>
      <c r="G440" s="289"/>
      <c r="H440" s="289"/>
      <c r="I440" s="290" t="s">
        <v>205</v>
      </c>
      <c r="J440" s="290"/>
      <c r="K440" s="290"/>
      <c r="L440" s="47">
        <v>33</v>
      </c>
      <c r="M440" s="262">
        <v>3318.69</v>
      </c>
      <c r="N440" s="47">
        <v>100</v>
      </c>
      <c r="O440" s="291">
        <v>0</v>
      </c>
      <c r="P440" s="291"/>
      <c r="Q440" s="291"/>
      <c r="R440" s="262">
        <v>75.430000000000007</v>
      </c>
      <c r="S440" s="262">
        <v>75.430000000000007</v>
      </c>
      <c r="U440" s="149">
        <f t="shared" si="34"/>
        <v>54870</v>
      </c>
      <c r="V440" s="146">
        <f t="shared" si="35"/>
        <v>0.75</v>
      </c>
      <c r="W440" s="150">
        <f t="shared" si="36"/>
        <v>32.25</v>
      </c>
      <c r="X440" s="146">
        <f t="shared" si="37"/>
        <v>32.25</v>
      </c>
    </row>
    <row r="441" spans="1:24" ht="9.75" customHeight="1" x14ac:dyDescent="0.25">
      <c r="A441" s="288">
        <v>1153</v>
      </c>
      <c r="B441" s="288"/>
      <c r="D441" s="258" t="s">
        <v>292</v>
      </c>
      <c r="E441" s="289">
        <v>42855</v>
      </c>
      <c r="F441" s="289"/>
      <c r="G441" s="289"/>
      <c r="H441" s="289"/>
      <c r="I441" s="290" t="s">
        <v>205</v>
      </c>
      <c r="J441" s="290"/>
      <c r="K441" s="290"/>
      <c r="L441" s="47">
        <v>33</v>
      </c>
      <c r="M441" s="262">
        <v>1298.08</v>
      </c>
      <c r="N441" s="47">
        <v>100</v>
      </c>
      <c r="O441" s="291">
        <v>0</v>
      </c>
      <c r="P441" s="291"/>
      <c r="Q441" s="291"/>
      <c r="R441" s="262">
        <v>26.23</v>
      </c>
      <c r="S441" s="262">
        <v>26.23</v>
      </c>
      <c r="U441" s="149">
        <f t="shared" si="34"/>
        <v>54900</v>
      </c>
      <c r="V441" s="146">
        <f t="shared" si="35"/>
        <v>0.66666666666666663</v>
      </c>
      <c r="W441" s="150">
        <f t="shared" si="36"/>
        <v>32.333333333333336</v>
      </c>
      <c r="X441" s="146">
        <f t="shared" si="37"/>
        <v>32.333333333333336</v>
      </c>
    </row>
    <row r="442" spans="1:24" ht="9.75" customHeight="1" x14ac:dyDescent="0.25">
      <c r="A442" s="288">
        <v>1156</v>
      </c>
      <c r="B442" s="288"/>
      <c r="D442" s="258" t="s">
        <v>292</v>
      </c>
      <c r="E442" s="289">
        <v>42886</v>
      </c>
      <c r="F442" s="289"/>
      <c r="G442" s="289"/>
      <c r="H442" s="289"/>
      <c r="I442" s="290" t="s">
        <v>205</v>
      </c>
      <c r="J442" s="290"/>
      <c r="K442" s="290"/>
      <c r="L442" s="47">
        <v>33</v>
      </c>
      <c r="M442" s="262">
        <v>4775.57</v>
      </c>
      <c r="N442" s="47">
        <v>100</v>
      </c>
      <c r="O442" s="291">
        <v>0</v>
      </c>
      <c r="P442" s="291"/>
      <c r="Q442" s="291"/>
      <c r="R442" s="262">
        <v>84.41</v>
      </c>
      <c r="S442" s="262">
        <v>84.41</v>
      </c>
      <c r="U442" s="149">
        <f t="shared" si="34"/>
        <v>54931</v>
      </c>
      <c r="V442" s="146">
        <f t="shared" si="35"/>
        <v>0.58333333333333337</v>
      </c>
      <c r="W442" s="150">
        <f t="shared" si="36"/>
        <v>32.416666666666664</v>
      </c>
      <c r="X442" s="146">
        <f t="shared" si="37"/>
        <v>32.416666666666664</v>
      </c>
    </row>
    <row r="443" spans="1:24" ht="9.75" customHeight="1" x14ac:dyDescent="0.25">
      <c r="A443" s="288">
        <v>1159</v>
      </c>
      <c r="B443" s="288"/>
      <c r="D443" s="258" t="s">
        <v>292</v>
      </c>
      <c r="E443" s="289">
        <v>42916</v>
      </c>
      <c r="F443" s="289"/>
      <c r="G443" s="289"/>
      <c r="H443" s="289"/>
      <c r="I443" s="290" t="s">
        <v>205</v>
      </c>
      <c r="J443" s="290"/>
      <c r="K443" s="290"/>
      <c r="L443" s="47">
        <v>33</v>
      </c>
      <c r="M443" s="262">
        <v>7879.08</v>
      </c>
      <c r="N443" s="47">
        <v>100</v>
      </c>
      <c r="O443" s="291">
        <v>0</v>
      </c>
      <c r="P443" s="291"/>
      <c r="Q443" s="291"/>
      <c r="R443" s="262">
        <v>119.38</v>
      </c>
      <c r="S443" s="262">
        <v>119.38</v>
      </c>
      <c r="U443" s="149">
        <f t="shared" si="34"/>
        <v>54961</v>
      </c>
      <c r="V443" s="146">
        <f t="shared" si="35"/>
        <v>0.5</v>
      </c>
      <c r="W443" s="150">
        <f t="shared" si="36"/>
        <v>32.5</v>
      </c>
      <c r="X443" s="146">
        <f t="shared" si="37"/>
        <v>32.5</v>
      </c>
    </row>
    <row r="444" spans="1:24" ht="9.75" customHeight="1" x14ac:dyDescent="0.25">
      <c r="A444" s="288">
        <v>1162</v>
      </c>
      <c r="B444" s="288"/>
      <c r="D444" s="258" t="s">
        <v>292</v>
      </c>
      <c r="E444" s="289">
        <v>42947</v>
      </c>
      <c r="F444" s="289"/>
      <c r="G444" s="289"/>
      <c r="H444" s="289"/>
      <c r="I444" s="290" t="s">
        <v>205</v>
      </c>
      <c r="J444" s="290"/>
      <c r="K444" s="290"/>
      <c r="L444" s="47">
        <v>33</v>
      </c>
      <c r="M444" s="262">
        <v>1824.83</v>
      </c>
      <c r="N444" s="47">
        <v>100</v>
      </c>
      <c r="O444" s="291">
        <v>0</v>
      </c>
      <c r="P444" s="291"/>
      <c r="Q444" s="291"/>
      <c r="R444" s="262">
        <v>23.04</v>
      </c>
      <c r="S444" s="262">
        <v>23.04</v>
      </c>
      <c r="U444" s="149">
        <f t="shared" si="34"/>
        <v>54992</v>
      </c>
      <c r="V444" s="146">
        <f t="shared" si="35"/>
        <v>0.41666666666666669</v>
      </c>
      <c r="W444" s="150">
        <f t="shared" si="36"/>
        <v>32.583333333333336</v>
      </c>
      <c r="X444" s="146">
        <f t="shared" si="37"/>
        <v>32.583333333333336</v>
      </c>
    </row>
    <row r="445" spans="1:24" ht="9.75" customHeight="1" x14ac:dyDescent="0.25">
      <c r="A445" s="288">
        <v>1165</v>
      </c>
      <c r="B445" s="288"/>
      <c r="D445" s="258" t="s">
        <v>292</v>
      </c>
      <c r="E445" s="289">
        <v>42978</v>
      </c>
      <c r="F445" s="289"/>
      <c r="G445" s="289"/>
      <c r="H445" s="289"/>
      <c r="I445" s="290" t="s">
        <v>205</v>
      </c>
      <c r="J445" s="290"/>
      <c r="K445" s="290"/>
      <c r="L445" s="47">
        <v>33</v>
      </c>
      <c r="M445" s="262">
        <v>3038.78</v>
      </c>
      <c r="N445" s="47">
        <v>100</v>
      </c>
      <c r="O445" s="291">
        <v>0</v>
      </c>
      <c r="P445" s="291"/>
      <c r="Q445" s="291"/>
      <c r="R445" s="262">
        <v>30.69</v>
      </c>
      <c r="S445" s="262">
        <v>30.69</v>
      </c>
      <c r="U445" s="149">
        <f t="shared" si="34"/>
        <v>55023</v>
      </c>
      <c r="V445" s="146">
        <f t="shared" si="35"/>
        <v>0.33333333333333331</v>
      </c>
      <c r="W445" s="150">
        <f t="shared" si="36"/>
        <v>32.666666666666664</v>
      </c>
      <c r="X445" s="146">
        <f t="shared" si="37"/>
        <v>32.666666666666664</v>
      </c>
    </row>
    <row r="446" spans="1:24" ht="9.75" customHeight="1" x14ac:dyDescent="0.25">
      <c r="A446" s="288">
        <v>1169</v>
      </c>
      <c r="B446" s="288"/>
      <c r="D446" s="258" t="s">
        <v>292</v>
      </c>
      <c r="E446" s="289">
        <v>43008</v>
      </c>
      <c r="F446" s="289"/>
      <c r="G446" s="289"/>
      <c r="H446" s="289"/>
      <c r="I446" s="290" t="s">
        <v>205</v>
      </c>
      <c r="J446" s="290"/>
      <c r="K446" s="290"/>
      <c r="L446" s="47">
        <v>33</v>
      </c>
      <c r="M446" s="262">
        <v>1550.15</v>
      </c>
      <c r="N446" s="47">
        <v>100</v>
      </c>
      <c r="O446" s="291">
        <v>0</v>
      </c>
      <c r="P446" s="291"/>
      <c r="Q446" s="291"/>
      <c r="R446" s="262">
        <v>11.74</v>
      </c>
      <c r="S446" s="262">
        <v>11.74</v>
      </c>
      <c r="U446" s="149">
        <f t="shared" si="34"/>
        <v>55053</v>
      </c>
      <c r="V446" s="146">
        <f t="shared" si="35"/>
        <v>0.25</v>
      </c>
      <c r="W446" s="150">
        <f t="shared" si="36"/>
        <v>32.75</v>
      </c>
      <c r="X446" s="146">
        <f t="shared" si="37"/>
        <v>32.75</v>
      </c>
    </row>
    <row r="447" spans="1:24" ht="9.75" customHeight="1" x14ac:dyDescent="0.25">
      <c r="A447" s="288">
        <v>1172</v>
      </c>
      <c r="B447" s="288"/>
      <c r="D447" s="258" t="s">
        <v>292</v>
      </c>
      <c r="E447" s="289">
        <v>43039</v>
      </c>
      <c r="F447" s="289"/>
      <c r="G447" s="289"/>
      <c r="H447" s="289"/>
      <c r="I447" s="290" t="s">
        <v>205</v>
      </c>
      <c r="J447" s="290"/>
      <c r="K447" s="290"/>
      <c r="L447" s="47">
        <v>33</v>
      </c>
      <c r="M447" s="262">
        <v>1654.9</v>
      </c>
      <c r="N447" s="47">
        <v>100</v>
      </c>
      <c r="O447" s="291">
        <v>0</v>
      </c>
      <c r="P447" s="291"/>
      <c r="Q447" s="291"/>
      <c r="R447" s="262">
        <v>8.36</v>
      </c>
      <c r="S447" s="262">
        <v>8.36</v>
      </c>
      <c r="U447" s="149">
        <f t="shared" si="34"/>
        <v>55084</v>
      </c>
      <c r="V447" s="146">
        <f t="shared" si="35"/>
        <v>0.16666666666666666</v>
      </c>
      <c r="W447" s="150">
        <f t="shared" si="36"/>
        <v>32.833333333333336</v>
      </c>
      <c r="X447" s="146">
        <f t="shared" si="37"/>
        <v>32.833333333333336</v>
      </c>
    </row>
    <row r="448" spans="1:24" ht="9.75" customHeight="1" x14ac:dyDescent="0.25">
      <c r="A448" s="288">
        <v>1175</v>
      </c>
      <c r="B448" s="288"/>
      <c r="D448" s="258" t="s">
        <v>64</v>
      </c>
      <c r="E448" s="289">
        <v>43069</v>
      </c>
      <c r="F448" s="289"/>
      <c r="G448" s="289"/>
      <c r="H448" s="289"/>
      <c r="I448" s="290" t="s">
        <v>205</v>
      </c>
      <c r="J448" s="290"/>
      <c r="K448" s="290"/>
      <c r="L448" s="47">
        <v>33</v>
      </c>
      <c r="M448" s="262">
        <v>1567.43</v>
      </c>
      <c r="N448" s="47">
        <v>100</v>
      </c>
      <c r="O448" s="291">
        <v>0</v>
      </c>
      <c r="P448" s="291"/>
      <c r="Q448" s="291"/>
      <c r="R448" s="262">
        <v>3.96</v>
      </c>
      <c r="S448" s="262">
        <v>3.96</v>
      </c>
      <c r="U448" s="149">
        <f t="shared" si="34"/>
        <v>55114</v>
      </c>
      <c r="V448" s="146">
        <f t="shared" si="35"/>
        <v>8.3333333333333329E-2</v>
      </c>
      <c r="W448" s="150">
        <f t="shared" si="36"/>
        <v>32.916666666666664</v>
      </c>
      <c r="X448" s="146">
        <f t="shared" si="37"/>
        <v>32.916666666666664</v>
      </c>
    </row>
    <row r="449" spans="1:24" ht="9.75" customHeight="1" x14ac:dyDescent="0.25">
      <c r="A449" s="288">
        <v>1178</v>
      </c>
      <c r="B449" s="288"/>
      <c r="D449" s="258" t="s">
        <v>64</v>
      </c>
      <c r="E449" s="289">
        <v>43100</v>
      </c>
      <c r="F449" s="289"/>
      <c r="G449" s="289"/>
      <c r="H449" s="289"/>
      <c r="I449" s="290" t="s">
        <v>205</v>
      </c>
      <c r="J449" s="290"/>
      <c r="K449" s="290"/>
      <c r="L449" s="47">
        <v>33</v>
      </c>
      <c r="M449" s="262">
        <v>8311.43</v>
      </c>
      <c r="N449" s="47">
        <v>100</v>
      </c>
      <c r="O449" s="291">
        <v>0</v>
      </c>
      <c r="P449" s="291"/>
      <c r="Q449" s="291"/>
      <c r="R449" s="262">
        <v>0</v>
      </c>
      <c r="S449" s="262">
        <v>0</v>
      </c>
      <c r="U449" s="149">
        <f t="shared" si="34"/>
        <v>55145</v>
      </c>
      <c r="V449" s="146">
        <f t="shared" si="35"/>
        <v>0</v>
      </c>
      <c r="W449" s="150">
        <f t="shared" si="36"/>
        <v>33</v>
      </c>
      <c r="X449" s="146">
        <f t="shared" si="37"/>
        <v>33</v>
      </c>
    </row>
    <row r="450" spans="1:24" ht="2.25" customHeight="1" x14ac:dyDescent="0.25">
      <c r="X450" s="146"/>
    </row>
    <row r="451" spans="1:24" ht="12" customHeight="1" x14ac:dyDescent="0.25">
      <c r="A451" s="283" t="s">
        <v>303</v>
      </c>
      <c r="B451" s="283"/>
      <c r="C451" s="283"/>
      <c r="D451" s="283"/>
      <c r="E451" s="283"/>
      <c r="F451" s="283"/>
      <c r="G451" s="283"/>
      <c r="M451" s="260">
        <v>1488995.94</v>
      </c>
      <c r="O451" s="284">
        <v>682591.91</v>
      </c>
      <c r="P451" s="284"/>
      <c r="Q451" s="284"/>
      <c r="R451" s="260">
        <v>42973.26</v>
      </c>
      <c r="S451" s="260">
        <v>725565.17</v>
      </c>
      <c r="U451" s="281" t="s">
        <v>208</v>
      </c>
      <c r="V451" s="282"/>
      <c r="W451" s="147">
        <f>AVERAGE(W166:W449)</f>
        <v>21.605242566510174</v>
      </c>
      <c r="X451" s="147">
        <f>AVERAGE(X166:X449)</f>
        <v>21.605242566510174</v>
      </c>
    </row>
    <row r="452" spans="1:24" ht="14.25" customHeight="1" x14ac:dyDescent="0.25">
      <c r="B452" s="283" t="s">
        <v>209</v>
      </c>
      <c r="C452" s="283"/>
      <c r="D452" s="283"/>
      <c r="E452" s="283"/>
      <c r="F452" s="283"/>
      <c r="G452" s="283"/>
      <c r="H452" s="283"/>
      <c r="M452" s="261">
        <v>0</v>
      </c>
      <c r="O452" s="285">
        <v>0</v>
      </c>
      <c r="P452" s="285"/>
      <c r="Q452" s="285"/>
      <c r="R452" s="261">
        <v>0</v>
      </c>
      <c r="S452" s="261">
        <v>0</v>
      </c>
      <c r="X452" s="146"/>
    </row>
    <row r="453" spans="1:24" ht="9.75" customHeight="1" thickBot="1" x14ac:dyDescent="0.3">
      <c r="A453" s="283" t="s">
        <v>304</v>
      </c>
      <c r="B453" s="283"/>
      <c r="C453" s="283"/>
      <c r="D453" s="283"/>
      <c r="E453" s="283"/>
      <c r="F453" s="283"/>
      <c r="G453" s="283"/>
      <c r="M453" s="286">
        <v>1488995.94</v>
      </c>
      <c r="O453" s="286">
        <v>682591.91</v>
      </c>
      <c r="P453" s="286"/>
      <c r="Q453" s="286"/>
      <c r="R453" s="286">
        <v>42973.26</v>
      </c>
      <c r="S453" s="286">
        <v>725565.17</v>
      </c>
      <c r="X453" s="146"/>
    </row>
    <row r="454" spans="1:24" ht="6" customHeight="1" thickTop="1" thickBot="1" x14ac:dyDescent="0.3">
      <c r="M454" s="286"/>
      <c r="O454" s="286"/>
      <c r="P454" s="286"/>
      <c r="Q454" s="286"/>
      <c r="R454" s="286"/>
      <c r="S454" s="286"/>
      <c r="X454" s="146"/>
    </row>
    <row r="455" spans="1:24" ht="2.25" customHeight="1" thickTop="1" x14ac:dyDescent="0.25">
      <c r="X455" s="146"/>
    </row>
    <row r="456" spans="1:24" ht="14.25" customHeight="1" x14ac:dyDescent="0.25">
      <c r="A456" s="283" t="s">
        <v>169</v>
      </c>
      <c r="B456" s="283"/>
      <c r="C456" s="283"/>
      <c r="D456" s="283"/>
      <c r="E456" s="283"/>
      <c r="F456" s="283"/>
      <c r="G456" s="283"/>
      <c r="H456" s="283"/>
      <c r="I456" s="283"/>
      <c r="J456" s="283"/>
      <c r="K456" s="283"/>
      <c r="L456" s="283"/>
      <c r="M456" s="283"/>
      <c r="N456" s="283"/>
      <c r="O456" s="283"/>
      <c r="P456" s="283"/>
      <c r="Q456" s="283"/>
      <c r="R456" s="283"/>
      <c r="S456" s="283"/>
      <c r="T456" s="283"/>
      <c r="U456" s="140" t="s">
        <v>201</v>
      </c>
      <c r="V456" s="141">
        <v>43100</v>
      </c>
      <c r="W456" s="140" t="s">
        <v>202</v>
      </c>
      <c r="X456" s="148" t="s">
        <v>203</v>
      </c>
    </row>
    <row r="457" spans="1:24" ht="2.25" customHeight="1" x14ac:dyDescent="0.25">
      <c r="W457" s="142"/>
      <c r="X457" s="146"/>
    </row>
    <row r="458" spans="1:24" ht="0.75" customHeight="1" x14ac:dyDescent="0.25">
      <c r="X458" s="146"/>
    </row>
    <row r="459" spans="1:24" ht="9.75" customHeight="1" x14ac:dyDescent="0.25">
      <c r="A459" s="288">
        <v>37</v>
      </c>
      <c r="B459" s="288"/>
      <c r="D459" s="258" t="s">
        <v>305</v>
      </c>
      <c r="E459" s="289">
        <v>39478</v>
      </c>
      <c r="F459" s="289"/>
      <c r="G459" s="289"/>
      <c r="H459" s="289"/>
      <c r="I459" s="290" t="s">
        <v>205</v>
      </c>
      <c r="J459" s="290"/>
      <c r="K459" s="290"/>
      <c r="L459" s="47">
        <v>33</v>
      </c>
      <c r="M459" s="262">
        <v>1275</v>
      </c>
      <c r="N459" s="47">
        <v>100</v>
      </c>
      <c r="O459" s="291">
        <v>344.54</v>
      </c>
      <c r="P459" s="291"/>
      <c r="Q459" s="291"/>
      <c r="R459" s="262">
        <v>38.64</v>
      </c>
      <c r="S459" s="262">
        <v>383.18</v>
      </c>
      <c r="U459" s="149">
        <f t="shared" ref="U459:U490" si="38">E459+(L459*365)</f>
        <v>51523</v>
      </c>
      <c r="V459" s="146">
        <f t="shared" ref="V459:V490" si="39">YEARFRAC(E459,$V$14)</f>
        <v>9.9166666666666661</v>
      </c>
      <c r="W459" s="150">
        <f t="shared" ref="W459:W490" si="40">IF(V459&gt;L459,0,L459-V459)</f>
        <v>23.083333333333336</v>
      </c>
      <c r="X459" s="146">
        <f t="shared" ref="X459:X490" si="41">IF(W459=0,0,W459)</f>
        <v>23.083333333333336</v>
      </c>
    </row>
    <row r="460" spans="1:24" ht="9.75" customHeight="1" x14ac:dyDescent="0.25">
      <c r="A460" s="288">
        <v>50</v>
      </c>
      <c r="B460" s="288"/>
      <c r="D460" s="258" t="s">
        <v>306</v>
      </c>
      <c r="E460" s="289">
        <v>39507</v>
      </c>
      <c r="F460" s="289"/>
      <c r="G460" s="289"/>
      <c r="H460" s="289"/>
      <c r="I460" s="290" t="s">
        <v>205</v>
      </c>
      <c r="J460" s="290"/>
      <c r="K460" s="290"/>
      <c r="L460" s="47">
        <v>33</v>
      </c>
      <c r="M460" s="262">
        <v>3427.5</v>
      </c>
      <c r="N460" s="47">
        <v>100</v>
      </c>
      <c r="O460" s="291">
        <v>917.43000000000006</v>
      </c>
      <c r="P460" s="291"/>
      <c r="Q460" s="291"/>
      <c r="R460" s="262">
        <v>103.86</v>
      </c>
      <c r="S460" s="262">
        <v>1021.2900000000001</v>
      </c>
      <c r="U460" s="149">
        <f t="shared" si="38"/>
        <v>51552</v>
      </c>
      <c r="V460" s="146">
        <f t="shared" si="39"/>
        <v>9.8361111111111104</v>
      </c>
      <c r="W460" s="150">
        <f t="shared" si="40"/>
        <v>23.163888888888891</v>
      </c>
      <c r="X460" s="146">
        <f t="shared" si="41"/>
        <v>23.163888888888891</v>
      </c>
    </row>
    <row r="461" spans="1:24" ht="9.75" customHeight="1" x14ac:dyDescent="0.25">
      <c r="A461" s="288">
        <v>57</v>
      </c>
      <c r="B461" s="288"/>
      <c r="D461" s="258" t="s">
        <v>305</v>
      </c>
      <c r="E461" s="289">
        <v>39538</v>
      </c>
      <c r="F461" s="289"/>
      <c r="G461" s="289"/>
      <c r="H461" s="289"/>
      <c r="I461" s="290" t="s">
        <v>205</v>
      </c>
      <c r="J461" s="290"/>
      <c r="K461" s="290"/>
      <c r="L461" s="47">
        <v>33</v>
      </c>
      <c r="M461" s="262">
        <v>3562.5</v>
      </c>
      <c r="N461" s="47">
        <v>100</v>
      </c>
      <c r="O461" s="291">
        <v>944.56000000000006</v>
      </c>
      <c r="P461" s="291"/>
      <c r="Q461" s="291"/>
      <c r="R461" s="262">
        <v>107.95</v>
      </c>
      <c r="S461" s="262">
        <v>1052.51</v>
      </c>
      <c r="U461" s="149">
        <f t="shared" si="38"/>
        <v>51583</v>
      </c>
      <c r="V461" s="146">
        <f t="shared" si="39"/>
        <v>9.75</v>
      </c>
      <c r="W461" s="150">
        <f t="shared" si="40"/>
        <v>23.25</v>
      </c>
      <c r="X461" s="146">
        <f t="shared" si="41"/>
        <v>23.25</v>
      </c>
    </row>
    <row r="462" spans="1:24" ht="9.75" customHeight="1" x14ac:dyDescent="0.25">
      <c r="A462" s="288">
        <v>64</v>
      </c>
      <c r="B462" s="288"/>
      <c r="D462" s="258" t="s">
        <v>305</v>
      </c>
      <c r="E462" s="289">
        <v>39568</v>
      </c>
      <c r="F462" s="289"/>
      <c r="G462" s="289"/>
      <c r="H462" s="289"/>
      <c r="I462" s="290" t="s">
        <v>205</v>
      </c>
      <c r="J462" s="290"/>
      <c r="K462" s="290"/>
      <c r="L462" s="47">
        <v>33</v>
      </c>
      <c r="M462" s="262">
        <v>4035</v>
      </c>
      <c r="N462" s="47">
        <v>100</v>
      </c>
      <c r="O462" s="291">
        <v>1059.67</v>
      </c>
      <c r="P462" s="291"/>
      <c r="Q462" s="291"/>
      <c r="R462" s="262">
        <v>122.27</v>
      </c>
      <c r="S462" s="262">
        <v>1181.94</v>
      </c>
      <c r="U462" s="149">
        <f t="shared" si="38"/>
        <v>51613</v>
      </c>
      <c r="V462" s="146">
        <f t="shared" si="39"/>
        <v>9.6666666666666661</v>
      </c>
      <c r="W462" s="150">
        <f t="shared" si="40"/>
        <v>23.333333333333336</v>
      </c>
      <c r="X462" s="146">
        <f t="shared" si="41"/>
        <v>23.333333333333336</v>
      </c>
    </row>
    <row r="463" spans="1:24" ht="9.75" customHeight="1" x14ac:dyDescent="0.25">
      <c r="A463" s="288">
        <v>67</v>
      </c>
      <c r="B463" s="288"/>
      <c r="D463" s="258" t="s">
        <v>305</v>
      </c>
      <c r="E463" s="289">
        <v>39599</v>
      </c>
      <c r="F463" s="289"/>
      <c r="G463" s="289"/>
      <c r="H463" s="289"/>
      <c r="I463" s="290" t="s">
        <v>205</v>
      </c>
      <c r="J463" s="290"/>
      <c r="K463" s="290"/>
      <c r="L463" s="47">
        <v>33</v>
      </c>
      <c r="M463" s="262">
        <v>2647.5</v>
      </c>
      <c r="N463" s="47">
        <v>100</v>
      </c>
      <c r="O463" s="291">
        <v>688.64</v>
      </c>
      <c r="P463" s="291"/>
      <c r="Q463" s="291"/>
      <c r="R463" s="262">
        <v>80.23</v>
      </c>
      <c r="S463" s="262">
        <v>768.87</v>
      </c>
      <c r="U463" s="149">
        <f t="shared" si="38"/>
        <v>51644</v>
      </c>
      <c r="V463" s="146">
        <f t="shared" si="39"/>
        <v>9.5833333333333339</v>
      </c>
      <c r="W463" s="150">
        <f t="shared" si="40"/>
        <v>23.416666666666664</v>
      </c>
      <c r="X463" s="146">
        <f t="shared" si="41"/>
        <v>23.416666666666664</v>
      </c>
    </row>
    <row r="464" spans="1:24" ht="9.75" customHeight="1" x14ac:dyDescent="0.25">
      <c r="A464" s="288">
        <v>101</v>
      </c>
      <c r="B464" s="288"/>
      <c r="D464" s="258" t="s">
        <v>169</v>
      </c>
      <c r="E464" s="289">
        <v>32873</v>
      </c>
      <c r="F464" s="289"/>
      <c r="G464" s="289"/>
      <c r="H464" s="289"/>
      <c r="I464" s="290" t="s">
        <v>205</v>
      </c>
      <c r="J464" s="290"/>
      <c r="K464" s="290"/>
      <c r="L464" s="47">
        <v>33</v>
      </c>
      <c r="M464" s="262">
        <v>4157</v>
      </c>
      <c r="N464" s="47">
        <v>100</v>
      </c>
      <c r="O464" s="291">
        <v>3411.69</v>
      </c>
      <c r="P464" s="291"/>
      <c r="Q464" s="291"/>
      <c r="R464" s="262">
        <v>125.97</v>
      </c>
      <c r="S464" s="262">
        <v>3537.66</v>
      </c>
      <c r="U464" s="149">
        <f t="shared" si="38"/>
        <v>44918</v>
      </c>
      <c r="V464" s="146">
        <f t="shared" si="39"/>
        <v>28</v>
      </c>
      <c r="W464" s="150">
        <f t="shared" si="40"/>
        <v>5</v>
      </c>
      <c r="X464" s="146">
        <f t="shared" si="41"/>
        <v>5</v>
      </c>
    </row>
    <row r="465" spans="1:24" ht="9.75" customHeight="1" x14ac:dyDescent="0.25">
      <c r="A465" s="288">
        <v>115</v>
      </c>
      <c r="B465" s="288"/>
      <c r="D465" s="258" t="s">
        <v>169</v>
      </c>
      <c r="E465" s="289">
        <v>33054</v>
      </c>
      <c r="F465" s="289"/>
      <c r="G465" s="289"/>
      <c r="H465" s="289"/>
      <c r="I465" s="290" t="s">
        <v>205</v>
      </c>
      <c r="J465" s="290"/>
      <c r="K465" s="290"/>
      <c r="L465" s="47">
        <v>33</v>
      </c>
      <c r="M465" s="262">
        <v>613</v>
      </c>
      <c r="N465" s="47">
        <v>100</v>
      </c>
      <c r="O465" s="291">
        <v>493.92</v>
      </c>
      <c r="P465" s="291"/>
      <c r="Q465" s="291"/>
      <c r="R465" s="262">
        <v>18.579999999999998</v>
      </c>
      <c r="S465" s="262">
        <v>512.5</v>
      </c>
      <c r="U465" s="149">
        <f t="shared" si="38"/>
        <v>45099</v>
      </c>
      <c r="V465" s="146">
        <f t="shared" si="39"/>
        <v>27.5</v>
      </c>
      <c r="W465" s="150">
        <f t="shared" si="40"/>
        <v>5.5</v>
      </c>
      <c r="X465" s="146">
        <f t="shared" si="41"/>
        <v>5.5</v>
      </c>
    </row>
    <row r="466" spans="1:24" ht="9.75" customHeight="1" x14ac:dyDescent="0.25">
      <c r="A466" s="288">
        <v>126</v>
      </c>
      <c r="B466" s="288"/>
      <c r="D466" s="258" t="s">
        <v>307</v>
      </c>
      <c r="E466" s="289">
        <v>33328</v>
      </c>
      <c r="F466" s="289"/>
      <c r="G466" s="289"/>
      <c r="H466" s="289"/>
      <c r="I466" s="290" t="s">
        <v>205</v>
      </c>
      <c r="J466" s="290"/>
      <c r="K466" s="290"/>
      <c r="L466" s="47">
        <v>33</v>
      </c>
      <c r="M466" s="262">
        <v>444</v>
      </c>
      <c r="N466" s="47">
        <v>100</v>
      </c>
      <c r="O466" s="291">
        <v>347.46</v>
      </c>
      <c r="P466" s="291"/>
      <c r="Q466" s="291"/>
      <c r="R466" s="262">
        <v>13.450000000000001</v>
      </c>
      <c r="S466" s="262">
        <v>360.91</v>
      </c>
      <c r="U466" s="149">
        <f t="shared" si="38"/>
        <v>45373</v>
      </c>
      <c r="V466" s="146">
        <f t="shared" si="39"/>
        <v>26.75</v>
      </c>
      <c r="W466" s="150">
        <f t="shared" si="40"/>
        <v>6.25</v>
      </c>
      <c r="X466" s="146">
        <f t="shared" si="41"/>
        <v>6.25</v>
      </c>
    </row>
    <row r="467" spans="1:24" ht="9.75" customHeight="1" x14ac:dyDescent="0.25">
      <c r="A467" s="288">
        <v>128</v>
      </c>
      <c r="B467" s="288"/>
      <c r="D467" s="258" t="s">
        <v>307</v>
      </c>
      <c r="E467" s="289">
        <v>33511</v>
      </c>
      <c r="F467" s="289"/>
      <c r="G467" s="289"/>
      <c r="H467" s="289"/>
      <c r="I467" s="290" t="s">
        <v>205</v>
      </c>
      <c r="J467" s="290"/>
      <c r="K467" s="290"/>
      <c r="L467" s="47">
        <v>33</v>
      </c>
      <c r="M467" s="262">
        <v>512</v>
      </c>
      <c r="N467" s="47">
        <v>100</v>
      </c>
      <c r="O467" s="291">
        <v>393.17</v>
      </c>
      <c r="P467" s="291"/>
      <c r="Q467" s="291"/>
      <c r="R467" s="262">
        <v>15.52</v>
      </c>
      <c r="S467" s="262">
        <v>408.69</v>
      </c>
      <c r="U467" s="149">
        <f t="shared" si="38"/>
        <v>45556</v>
      </c>
      <c r="V467" s="146">
        <f t="shared" si="39"/>
        <v>26.25</v>
      </c>
      <c r="W467" s="150">
        <f t="shared" si="40"/>
        <v>6.75</v>
      </c>
      <c r="X467" s="146">
        <f t="shared" si="41"/>
        <v>6.75</v>
      </c>
    </row>
    <row r="468" spans="1:24" ht="9.75" customHeight="1" x14ac:dyDescent="0.25">
      <c r="A468" s="288">
        <v>153</v>
      </c>
      <c r="B468" s="288"/>
      <c r="D468" s="258" t="s">
        <v>308</v>
      </c>
      <c r="E468" s="289">
        <v>33878</v>
      </c>
      <c r="F468" s="289"/>
      <c r="G468" s="289"/>
      <c r="H468" s="289"/>
      <c r="I468" s="290" t="s">
        <v>205</v>
      </c>
      <c r="J468" s="290"/>
      <c r="K468" s="290"/>
      <c r="L468" s="47">
        <v>33</v>
      </c>
      <c r="M468" s="262">
        <v>262</v>
      </c>
      <c r="N468" s="47">
        <v>100</v>
      </c>
      <c r="O468" s="291">
        <v>192.54</v>
      </c>
      <c r="P468" s="291"/>
      <c r="Q468" s="291"/>
      <c r="R468" s="262">
        <v>7.94</v>
      </c>
      <c r="S468" s="262">
        <v>200.48000000000002</v>
      </c>
      <c r="U468" s="149">
        <f t="shared" si="38"/>
        <v>45923</v>
      </c>
      <c r="V468" s="146">
        <f t="shared" si="39"/>
        <v>25.25</v>
      </c>
      <c r="W468" s="150">
        <f t="shared" si="40"/>
        <v>7.75</v>
      </c>
      <c r="X468" s="146">
        <f t="shared" si="41"/>
        <v>7.75</v>
      </c>
    </row>
    <row r="469" spans="1:24" ht="9.75" customHeight="1" x14ac:dyDescent="0.25">
      <c r="A469" s="288">
        <v>191</v>
      </c>
      <c r="B469" s="288"/>
      <c r="D469" s="258" t="s">
        <v>309</v>
      </c>
      <c r="E469" s="289">
        <v>34425</v>
      </c>
      <c r="F469" s="289"/>
      <c r="G469" s="289"/>
      <c r="H469" s="289"/>
      <c r="I469" s="290" t="s">
        <v>205</v>
      </c>
      <c r="J469" s="290"/>
      <c r="K469" s="290"/>
      <c r="L469" s="47">
        <v>33</v>
      </c>
      <c r="M469" s="262">
        <v>169</v>
      </c>
      <c r="N469" s="47">
        <v>100</v>
      </c>
      <c r="O469" s="291">
        <v>116.48</v>
      </c>
      <c r="P469" s="291"/>
      <c r="Q469" s="291"/>
      <c r="R469" s="262">
        <v>5.12</v>
      </c>
      <c r="S469" s="262">
        <v>121.60000000000001</v>
      </c>
      <c r="U469" s="149">
        <f t="shared" si="38"/>
        <v>46470</v>
      </c>
      <c r="V469" s="146">
        <f t="shared" si="39"/>
        <v>23.75</v>
      </c>
      <c r="W469" s="150">
        <f t="shared" si="40"/>
        <v>9.25</v>
      </c>
      <c r="X469" s="146">
        <f t="shared" si="41"/>
        <v>9.25</v>
      </c>
    </row>
    <row r="470" spans="1:24" ht="9.75" customHeight="1" x14ac:dyDescent="0.25">
      <c r="A470" s="288">
        <v>249</v>
      </c>
      <c r="B470" s="288"/>
      <c r="D470" s="258" t="s">
        <v>310</v>
      </c>
      <c r="E470" s="289">
        <v>36219</v>
      </c>
      <c r="F470" s="289"/>
      <c r="G470" s="289"/>
      <c r="H470" s="289"/>
      <c r="I470" s="290" t="s">
        <v>205</v>
      </c>
      <c r="J470" s="290"/>
      <c r="K470" s="290"/>
      <c r="L470" s="47">
        <v>33</v>
      </c>
      <c r="M470" s="262">
        <v>193.01</v>
      </c>
      <c r="N470" s="47">
        <v>100</v>
      </c>
      <c r="O470" s="291">
        <v>193.01</v>
      </c>
      <c r="P470" s="291"/>
      <c r="Q470" s="291"/>
      <c r="R470" s="262">
        <v>0</v>
      </c>
      <c r="S470" s="262">
        <v>193.01</v>
      </c>
      <c r="U470" s="149">
        <f t="shared" si="38"/>
        <v>48264</v>
      </c>
      <c r="V470" s="146">
        <f t="shared" si="39"/>
        <v>18.836111111111112</v>
      </c>
      <c r="W470" s="150">
        <f t="shared" si="40"/>
        <v>14.163888888888888</v>
      </c>
      <c r="X470" s="146">
        <f t="shared" si="41"/>
        <v>14.163888888888888</v>
      </c>
    </row>
    <row r="471" spans="1:24" ht="9.75" customHeight="1" x14ac:dyDescent="0.25">
      <c r="A471" s="288">
        <v>297</v>
      </c>
      <c r="B471" s="288"/>
      <c r="D471" s="258" t="s">
        <v>311</v>
      </c>
      <c r="E471" s="289">
        <v>36646</v>
      </c>
      <c r="F471" s="289"/>
      <c r="G471" s="289"/>
      <c r="H471" s="289"/>
      <c r="I471" s="290" t="s">
        <v>205</v>
      </c>
      <c r="J471" s="290"/>
      <c r="K471" s="290"/>
      <c r="L471" s="47">
        <v>33.299999999999997</v>
      </c>
      <c r="M471" s="262">
        <v>508.2</v>
      </c>
      <c r="N471" s="47">
        <v>100</v>
      </c>
      <c r="O471" s="291">
        <v>255.61</v>
      </c>
      <c r="P471" s="291"/>
      <c r="Q471" s="291"/>
      <c r="R471" s="262">
        <v>15.26</v>
      </c>
      <c r="S471" s="262">
        <v>270.87</v>
      </c>
      <c r="U471" s="149">
        <f t="shared" si="38"/>
        <v>48800.5</v>
      </c>
      <c r="V471" s="146">
        <f t="shared" si="39"/>
        <v>17.666666666666668</v>
      </c>
      <c r="W471" s="150">
        <f t="shared" si="40"/>
        <v>15.633333333333329</v>
      </c>
      <c r="X471" s="146">
        <f t="shared" si="41"/>
        <v>15.633333333333329</v>
      </c>
    </row>
    <row r="472" spans="1:24" ht="9.75" customHeight="1" x14ac:dyDescent="0.25">
      <c r="A472" s="288">
        <v>302</v>
      </c>
      <c r="B472" s="288"/>
      <c r="D472" s="258" t="s">
        <v>311</v>
      </c>
      <c r="E472" s="289">
        <v>36677</v>
      </c>
      <c r="F472" s="289"/>
      <c r="G472" s="289"/>
      <c r="H472" s="289"/>
      <c r="I472" s="290" t="s">
        <v>205</v>
      </c>
      <c r="J472" s="290"/>
      <c r="K472" s="290"/>
      <c r="L472" s="47">
        <v>33.299999999999997</v>
      </c>
      <c r="M472" s="262">
        <v>294.20999999999998</v>
      </c>
      <c r="N472" s="47">
        <v>100</v>
      </c>
      <c r="O472" s="291">
        <v>147.33000000000001</v>
      </c>
      <c r="P472" s="291"/>
      <c r="Q472" s="291"/>
      <c r="R472" s="262">
        <v>8.84</v>
      </c>
      <c r="S472" s="262">
        <v>156.16999999999999</v>
      </c>
      <c r="U472" s="149">
        <f t="shared" si="38"/>
        <v>48831.5</v>
      </c>
      <c r="V472" s="146">
        <f t="shared" si="39"/>
        <v>17.583333333333332</v>
      </c>
      <c r="W472" s="150">
        <f t="shared" si="40"/>
        <v>15.716666666666665</v>
      </c>
      <c r="X472" s="146">
        <f t="shared" si="41"/>
        <v>15.716666666666665</v>
      </c>
    </row>
    <row r="473" spans="1:24" ht="9.75" customHeight="1" x14ac:dyDescent="0.25">
      <c r="A473" s="288">
        <v>306</v>
      </c>
      <c r="B473" s="288"/>
      <c r="D473" s="258" t="s">
        <v>311</v>
      </c>
      <c r="E473" s="289">
        <v>36707</v>
      </c>
      <c r="F473" s="289"/>
      <c r="G473" s="289"/>
      <c r="H473" s="289"/>
      <c r="I473" s="290" t="s">
        <v>205</v>
      </c>
      <c r="J473" s="290"/>
      <c r="K473" s="290"/>
      <c r="L473" s="47">
        <v>33.299999999999997</v>
      </c>
      <c r="M473" s="262">
        <v>172.5</v>
      </c>
      <c r="N473" s="47">
        <v>100</v>
      </c>
      <c r="O473" s="291">
        <v>85.9</v>
      </c>
      <c r="P473" s="291"/>
      <c r="Q473" s="291"/>
      <c r="R473" s="262">
        <v>5.18</v>
      </c>
      <c r="S473" s="262">
        <v>91.08</v>
      </c>
      <c r="U473" s="149">
        <f t="shared" si="38"/>
        <v>48861.5</v>
      </c>
      <c r="V473" s="146">
        <f t="shared" si="39"/>
        <v>17.5</v>
      </c>
      <c r="W473" s="150">
        <f t="shared" si="40"/>
        <v>15.799999999999997</v>
      </c>
      <c r="X473" s="146">
        <f t="shared" si="41"/>
        <v>15.799999999999997</v>
      </c>
    </row>
    <row r="474" spans="1:24" ht="9.75" customHeight="1" x14ac:dyDescent="0.25">
      <c r="A474" s="288">
        <v>317</v>
      </c>
      <c r="B474" s="288"/>
      <c r="D474" s="258" t="s">
        <v>311</v>
      </c>
      <c r="E474" s="289">
        <v>36769</v>
      </c>
      <c r="F474" s="289"/>
      <c r="G474" s="289"/>
      <c r="H474" s="289"/>
      <c r="I474" s="290" t="s">
        <v>205</v>
      </c>
      <c r="J474" s="290"/>
      <c r="K474" s="290"/>
      <c r="L474" s="47">
        <v>33.299999999999997</v>
      </c>
      <c r="M474" s="262">
        <v>562.5</v>
      </c>
      <c r="N474" s="47">
        <v>100</v>
      </c>
      <c r="O474" s="291">
        <v>277.27999999999997</v>
      </c>
      <c r="P474" s="291"/>
      <c r="Q474" s="291"/>
      <c r="R474" s="262">
        <v>16.89</v>
      </c>
      <c r="S474" s="262">
        <v>294.17</v>
      </c>
      <c r="U474" s="149">
        <f t="shared" si="38"/>
        <v>48923.5</v>
      </c>
      <c r="V474" s="146">
        <f t="shared" si="39"/>
        <v>17.333333333333332</v>
      </c>
      <c r="W474" s="150">
        <f t="shared" si="40"/>
        <v>15.966666666666665</v>
      </c>
      <c r="X474" s="146">
        <f t="shared" si="41"/>
        <v>15.966666666666665</v>
      </c>
    </row>
    <row r="475" spans="1:24" ht="9.75" customHeight="1" x14ac:dyDescent="0.25">
      <c r="A475" s="288">
        <v>321</v>
      </c>
      <c r="B475" s="288"/>
      <c r="D475" s="258" t="s">
        <v>311</v>
      </c>
      <c r="E475" s="289">
        <v>36799</v>
      </c>
      <c r="F475" s="289"/>
      <c r="G475" s="289"/>
      <c r="H475" s="289"/>
      <c r="I475" s="290" t="s">
        <v>205</v>
      </c>
      <c r="J475" s="290"/>
      <c r="K475" s="290"/>
      <c r="L475" s="47">
        <v>33.299999999999997</v>
      </c>
      <c r="M475" s="262">
        <v>778.2</v>
      </c>
      <c r="N475" s="47">
        <v>100</v>
      </c>
      <c r="O475" s="291">
        <v>381.71</v>
      </c>
      <c r="P475" s="291"/>
      <c r="Q475" s="291"/>
      <c r="R475" s="262">
        <v>23.37</v>
      </c>
      <c r="S475" s="262">
        <v>405.08</v>
      </c>
      <c r="U475" s="149">
        <f t="shared" si="38"/>
        <v>48953.5</v>
      </c>
      <c r="V475" s="146">
        <f t="shared" si="39"/>
        <v>17.25</v>
      </c>
      <c r="W475" s="150">
        <f t="shared" si="40"/>
        <v>16.049999999999997</v>
      </c>
      <c r="X475" s="146">
        <f t="shared" si="41"/>
        <v>16.049999999999997</v>
      </c>
    </row>
    <row r="476" spans="1:24" ht="9.75" customHeight="1" x14ac:dyDescent="0.25">
      <c r="A476" s="288">
        <v>325</v>
      </c>
      <c r="B476" s="288"/>
      <c r="D476" s="258" t="s">
        <v>311</v>
      </c>
      <c r="E476" s="289">
        <v>36830</v>
      </c>
      <c r="F476" s="289"/>
      <c r="G476" s="289"/>
      <c r="H476" s="289"/>
      <c r="I476" s="290" t="s">
        <v>205</v>
      </c>
      <c r="J476" s="290"/>
      <c r="K476" s="290"/>
      <c r="L476" s="47">
        <v>33.299999999999997</v>
      </c>
      <c r="M476" s="262">
        <v>3340.16</v>
      </c>
      <c r="N476" s="47">
        <v>100</v>
      </c>
      <c r="O476" s="291">
        <v>1630.04</v>
      </c>
      <c r="P476" s="291"/>
      <c r="Q476" s="291"/>
      <c r="R476" s="262">
        <v>100.31</v>
      </c>
      <c r="S476" s="262">
        <v>1730.3500000000001</v>
      </c>
      <c r="U476" s="149">
        <f t="shared" si="38"/>
        <v>48984.5</v>
      </c>
      <c r="V476" s="146">
        <f t="shared" si="39"/>
        <v>17.166666666666668</v>
      </c>
      <c r="W476" s="150">
        <f t="shared" si="40"/>
        <v>16.133333333333329</v>
      </c>
      <c r="X476" s="146">
        <f t="shared" si="41"/>
        <v>16.133333333333329</v>
      </c>
    </row>
    <row r="477" spans="1:24" ht="9.75" customHeight="1" x14ac:dyDescent="0.25">
      <c r="A477" s="288">
        <v>413</v>
      </c>
      <c r="B477" s="288"/>
      <c r="D477" s="258" t="s">
        <v>72</v>
      </c>
      <c r="E477" s="289">
        <v>37437</v>
      </c>
      <c r="F477" s="289"/>
      <c r="G477" s="289"/>
      <c r="H477" s="289"/>
      <c r="I477" s="290" t="s">
        <v>205</v>
      </c>
      <c r="J477" s="290"/>
      <c r="K477" s="290"/>
      <c r="L477" s="47">
        <v>33</v>
      </c>
      <c r="M477" s="262">
        <v>52.5</v>
      </c>
      <c r="N477" s="47">
        <v>100</v>
      </c>
      <c r="O477" s="291">
        <v>23.19</v>
      </c>
      <c r="P477" s="291"/>
      <c r="Q477" s="291"/>
      <c r="R477" s="262">
        <v>1.59</v>
      </c>
      <c r="S477" s="262">
        <v>24.78</v>
      </c>
      <c r="U477" s="149">
        <f t="shared" si="38"/>
        <v>49482</v>
      </c>
      <c r="V477" s="146">
        <f t="shared" si="39"/>
        <v>15.5</v>
      </c>
      <c r="W477" s="150">
        <f t="shared" si="40"/>
        <v>17.5</v>
      </c>
      <c r="X477" s="146">
        <f t="shared" si="41"/>
        <v>17.5</v>
      </c>
    </row>
    <row r="478" spans="1:24" ht="9.75" customHeight="1" x14ac:dyDescent="0.25">
      <c r="A478" s="288">
        <v>431</v>
      </c>
      <c r="B478" s="288"/>
      <c r="D478" s="258" t="s">
        <v>72</v>
      </c>
      <c r="E478" s="289">
        <v>37560</v>
      </c>
      <c r="F478" s="289"/>
      <c r="G478" s="289"/>
      <c r="H478" s="289"/>
      <c r="I478" s="290" t="s">
        <v>205</v>
      </c>
      <c r="J478" s="290"/>
      <c r="K478" s="290"/>
      <c r="L478" s="47">
        <v>33</v>
      </c>
      <c r="M478" s="262">
        <v>82.5</v>
      </c>
      <c r="N478" s="47">
        <v>100</v>
      </c>
      <c r="O478" s="291">
        <v>35.630000000000003</v>
      </c>
      <c r="P478" s="291"/>
      <c r="Q478" s="291"/>
      <c r="R478" s="262">
        <v>2.5</v>
      </c>
      <c r="S478" s="262">
        <v>38.130000000000003</v>
      </c>
      <c r="U478" s="149">
        <f t="shared" si="38"/>
        <v>49605</v>
      </c>
      <c r="V478" s="146">
        <f t="shared" si="39"/>
        <v>15.166666666666666</v>
      </c>
      <c r="W478" s="150">
        <f t="shared" si="40"/>
        <v>17.833333333333336</v>
      </c>
      <c r="X478" s="146">
        <f t="shared" si="41"/>
        <v>17.833333333333336</v>
      </c>
    </row>
    <row r="479" spans="1:24" ht="9.75" customHeight="1" x14ac:dyDescent="0.25">
      <c r="A479" s="288">
        <v>439</v>
      </c>
      <c r="B479" s="288"/>
      <c r="D479" s="258" t="s">
        <v>72</v>
      </c>
      <c r="E479" s="289">
        <v>37590</v>
      </c>
      <c r="F479" s="289"/>
      <c r="G479" s="289"/>
      <c r="H479" s="289"/>
      <c r="I479" s="290" t="s">
        <v>205</v>
      </c>
      <c r="J479" s="290"/>
      <c r="K479" s="290"/>
      <c r="L479" s="47">
        <v>33</v>
      </c>
      <c r="M479" s="262">
        <v>191.83</v>
      </c>
      <c r="N479" s="47">
        <v>100</v>
      </c>
      <c r="O479" s="291">
        <v>82.31</v>
      </c>
      <c r="P479" s="291"/>
      <c r="Q479" s="291"/>
      <c r="R479" s="262">
        <v>5.8100000000000005</v>
      </c>
      <c r="S479" s="262">
        <v>88.12</v>
      </c>
      <c r="U479" s="149">
        <f t="shared" si="38"/>
        <v>49635</v>
      </c>
      <c r="V479" s="146">
        <f t="shared" si="39"/>
        <v>15.083333333333334</v>
      </c>
      <c r="W479" s="150">
        <f t="shared" si="40"/>
        <v>17.916666666666664</v>
      </c>
      <c r="X479" s="146">
        <f t="shared" si="41"/>
        <v>17.916666666666664</v>
      </c>
    </row>
    <row r="480" spans="1:24" ht="9.75" customHeight="1" x14ac:dyDescent="0.25">
      <c r="A480" s="288">
        <v>440</v>
      </c>
      <c r="B480" s="288"/>
      <c r="D480" s="258" t="s">
        <v>72</v>
      </c>
      <c r="E480" s="289">
        <v>37621</v>
      </c>
      <c r="F480" s="289"/>
      <c r="G480" s="289"/>
      <c r="H480" s="289"/>
      <c r="I480" s="290" t="s">
        <v>205</v>
      </c>
      <c r="J480" s="290"/>
      <c r="K480" s="290"/>
      <c r="L480" s="47">
        <v>33</v>
      </c>
      <c r="M480" s="262">
        <v>165</v>
      </c>
      <c r="N480" s="47">
        <v>100</v>
      </c>
      <c r="O480" s="291">
        <v>70.42</v>
      </c>
      <c r="P480" s="291"/>
      <c r="Q480" s="291"/>
      <c r="R480" s="262">
        <v>5</v>
      </c>
      <c r="S480" s="262">
        <v>75.42</v>
      </c>
      <c r="U480" s="149">
        <f t="shared" si="38"/>
        <v>49666</v>
      </c>
      <c r="V480" s="146">
        <f t="shared" si="39"/>
        <v>15</v>
      </c>
      <c r="W480" s="150">
        <f t="shared" si="40"/>
        <v>18</v>
      </c>
      <c r="X480" s="146">
        <f t="shared" si="41"/>
        <v>18</v>
      </c>
    </row>
    <row r="481" spans="1:24" ht="9.75" customHeight="1" x14ac:dyDescent="0.25">
      <c r="A481" s="288">
        <v>520</v>
      </c>
      <c r="B481" s="288"/>
      <c r="D481" s="258" t="s">
        <v>306</v>
      </c>
      <c r="E481" s="289">
        <v>37955</v>
      </c>
      <c r="F481" s="289"/>
      <c r="G481" s="289"/>
      <c r="H481" s="289"/>
      <c r="I481" s="290" t="s">
        <v>205</v>
      </c>
      <c r="J481" s="290"/>
      <c r="K481" s="290"/>
      <c r="L481" s="47">
        <v>33</v>
      </c>
      <c r="M481" s="262">
        <v>52.5</v>
      </c>
      <c r="N481" s="47">
        <v>100</v>
      </c>
      <c r="O481" s="291">
        <v>20.94</v>
      </c>
      <c r="P481" s="291"/>
      <c r="Q481" s="291"/>
      <c r="R481" s="262">
        <v>1.59</v>
      </c>
      <c r="S481" s="262">
        <v>22.53</v>
      </c>
      <c r="U481" s="149">
        <f t="shared" si="38"/>
        <v>50000</v>
      </c>
      <c r="V481" s="146">
        <f t="shared" si="39"/>
        <v>14.083333333333334</v>
      </c>
      <c r="W481" s="150">
        <f t="shared" si="40"/>
        <v>18.916666666666664</v>
      </c>
      <c r="X481" s="146">
        <f t="shared" si="41"/>
        <v>18.916666666666664</v>
      </c>
    </row>
    <row r="482" spans="1:24" ht="9.75" customHeight="1" x14ac:dyDescent="0.25">
      <c r="A482" s="288">
        <v>547</v>
      </c>
      <c r="B482" s="288"/>
      <c r="D482" s="258" t="s">
        <v>306</v>
      </c>
      <c r="E482" s="289">
        <v>38077</v>
      </c>
      <c r="F482" s="289"/>
      <c r="G482" s="289"/>
      <c r="H482" s="289"/>
      <c r="I482" s="290" t="s">
        <v>205</v>
      </c>
      <c r="J482" s="290"/>
      <c r="K482" s="290"/>
      <c r="L482" s="47">
        <v>33</v>
      </c>
      <c r="M482" s="262">
        <v>105</v>
      </c>
      <c r="N482" s="47">
        <v>100</v>
      </c>
      <c r="O482" s="291">
        <v>40.549999999999997</v>
      </c>
      <c r="P482" s="291"/>
      <c r="Q482" s="291"/>
      <c r="R482" s="262">
        <v>3.18</v>
      </c>
      <c r="S482" s="262">
        <v>43.730000000000004</v>
      </c>
      <c r="U482" s="149">
        <f t="shared" si="38"/>
        <v>50122</v>
      </c>
      <c r="V482" s="146">
        <f t="shared" si="39"/>
        <v>13.75</v>
      </c>
      <c r="W482" s="150">
        <f t="shared" si="40"/>
        <v>19.25</v>
      </c>
      <c r="X482" s="146">
        <f t="shared" si="41"/>
        <v>19.25</v>
      </c>
    </row>
    <row r="483" spans="1:24" ht="9.75" customHeight="1" x14ac:dyDescent="0.25">
      <c r="A483" s="288">
        <v>717</v>
      </c>
      <c r="B483" s="288"/>
      <c r="D483" s="258" t="s">
        <v>312</v>
      </c>
      <c r="E483" s="289">
        <v>39113</v>
      </c>
      <c r="F483" s="289"/>
      <c r="G483" s="289"/>
      <c r="H483" s="289"/>
      <c r="I483" s="290" t="s">
        <v>205</v>
      </c>
      <c r="J483" s="290"/>
      <c r="K483" s="290"/>
      <c r="L483" s="47">
        <v>33</v>
      </c>
      <c r="M483" s="262">
        <v>60</v>
      </c>
      <c r="N483" s="47">
        <v>100</v>
      </c>
      <c r="O483" s="291">
        <v>18.05</v>
      </c>
      <c r="P483" s="291"/>
      <c r="Q483" s="291"/>
      <c r="R483" s="262">
        <v>1.82</v>
      </c>
      <c r="S483" s="262">
        <v>19.87</v>
      </c>
      <c r="U483" s="149">
        <f t="shared" si="38"/>
        <v>51158</v>
      </c>
      <c r="V483" s="146">
        <f t="shared" si="39"/>
        <v>10.916666666666666</v>
      </c>
      <c r="W483" s="150">
        <f t="shared" si="40"/>
        <v>22.083333333333336</v>
      </c>
      <c r="X483" s="146">
        <f t="shared" si="41"/>
        <v>22.083333333333336</v>
      </c>
    </row>
    <row r="484" spans="1:24" ht="9.75" customHeight="1" x14ac:dyDescent="0.25">
      <c r="A484" s="288">
        <v>719</v>
      </c>
      <c r="B484" s="288"/>
      <c r="D484" s="258" t="s">
        <v>312</v>
      </c>
      <c r="E484" s="289">
        <v>39141</v>
      </c>
      <c r="F484" s="289"/>
      <c r="G484" s="289"/>
      <c r="H484" s="289"/>
      <c r="I484" s="290" t="s">
        <v>205</v>
      </c>
      <c r="J484" s="290"/>
      <c r="K484" s="290"/>
      <c r="L484" s="47">
        <v>33</v>
      </c>
      <c r="M484" s="262">
        <v>52.5</v>
      </c>
      <c r="N484" s="47">
        <v>100</v>
      </c>
      <c r="O484" s="291">
        <v>15.63</v>
      </c>
      <c r="P484" s="291"/>
      <c r="Q484" s="291"/>
      <c r="R484" s="262">
        <v>1.59</v>
      </c>
      <c r="S484" s="262">
        <v>17.22</v>
      </c>
      <c r="U484" s="149">
        <f t="shared" si="38"/>
        <v>51186</v>
      </c>
      <c r="V484" s="146">
        <f t="shared" si="39"/>
        <v>10.83611111111111</v>
      </c>
      <c r="W484" s="150">
        <f t="shared" si="40"/>
        <v>22.163888888888891</v>
      </c>
      <c r="X484" s="146">
        <f t="shared" si="41"/>
        <v>22.163888888888891</v>
      </c>
    </row>
    <row r="485" spans="1:24" ht="9.75" customHeight="1" x14ac:dyDescent="0.25">
      <c r="A485" s="288">
        <v>723</v>
      </c>
      <c r="B485" s="288"/>
      <c r="D485" s="258" t="s">
        <v>312</v>
      </c>
      <c r="E485" s="289">
        <v>39172</v>
      </c>
      <c r="F485" s="289"/>
      <c r="G485" s="289"/>
      <c r="H485" s="289"/>
      <c r="I485" s="290" t="s">
        <v>205</v>
      </c>
      <c r="J485" s="290"/>
      <c r="K485" s="290"/>
      <c r="L485" s="47">
        <v>33</v>
      </c>
      <c r="M485" s="262">
        <v>30</v>
      </c>
      <c r="N485" s="47">
        <v>100</v>
      </c>
      <c r="O485" s="291">
        <v>8.8699999999999992</v>
      </c>
      <c r="P485" s="291"/>
      <c r="Q485" s="291"/>
      <c r="R485" s="262">
        <v>0.91</v>
      </c>
      <c r="S485" s="262">
        <v>9.7799999999999994</v>
      </c>
      <c r="U485" s="149">
        <f t="shared" si="38"/>
        <v>51217</v>
      </c>
      <c r="V485" s="146">
        <f t="shared" si="39"/>
        <v>10.75</v>
      </c>
      <c r="W485" s="150">
        <f t="shared" si="40"/>
        <v>22.25</v>
      </c>
      <c r="X485" s="146">
        <f t="shared" si="41"/>
        <v>22.25</v>
      </c>
    </row>
    <row r="486" spans="1:24" ht="9.75" customHeight="1" x14ac:dyDescent="0.25">
      <c r="A486" s="288">
        <v>724</v>
      </c>
      <c r="B486" s="288"/>
      <c r="D486" s="258" t="s">
        <v>306</v>
      </c>
      <c r="E486" s="289">
        <v>39691</v>
      </c>
      <c r="F486" s="289"/>
      <c r="G486" s="289"/>
      <c r="H486" s="289"/>
      <c r="I486" s="290" t="s">
        <v>205</v>
      </c>
      <c r="J486" s="290"/>
      <c r="K486" s="290"/>
      <c r="L486" s="47">
        <v>33</v>
      </c>
      <c r="M486" s="262">
        <v>45</v>
      </c>
      <c r="N486" s="47">
        <v>100</v>
      </c>
      <c r="O486" s="291">
        <v>11.33</v>
      </c>
      <c r="P486" s="291"/>
      <c r="Q486" s="291"/>
      <c r="R486" s="262">
        <v>1.36</v>
      </c>
      <c r="S486" s="262">
        <v>12.69</v>
      </c>
      <c r="U486" s="149">
        <f t="shared" si="38"/>
        <v>51736</v>
      </c>
      <c r="V486" s="146">
        <f t="shared" si="39"/>
        <v>9.3333333333333339</v>
      </c>
      <c r="W486" s="150">
        <f t="shared" si="40"/>
        <v>23.666666666666664</v>
      </c>
      <c r="X486" s="146">
        <f t="shared" si="41"/>
        <v>23.666666666666664</v>
      </c>
    </row>
    <row r="487" spans="1:24" ht="9.75" customHeight="1" x14ac:dyDescent="0.25">
      <c r="A487" s="288">
        <v>737</v>
      </c>
      <c r="B487" s="288"/>
      <c r="D487" s="258" t="s">
        <v>306</v>
      </c>
      <c r="E487" s="289">
        <v>39721</v>
      </c>
      <c r="F487" s="289"/>
      <c r="G487" s="289"/>
      <c r="H487" s="289"/>
      <c r="I487" s="290" t="s">
        <v>205</v>
      </c>
      <c r="J487" s="290"/>
      <c r="K487" s="290"/>
      <c r="L487" s="47">
        <v>33</v>
      </c>
      <c r="M487" s="262">
        <v>757.5</v>
      </c>
      <c r="N487" s="47">
        <v>100</v>
      </c>
      <c r="O487" s="291">
        <v>189.34</v>
      </c>
      <c r="P487" s="291"/>
      <c r="Q487" s="291"/>
      <c r="R487" s="262">
        <v>22.95</v>
      </c>
      <c r="S487" s="262">
        <v>212.29</v>
      </c>
      <c r="U487" s="149">
        <f t="shared" si="38"/>
        <v>51766</v>
      </c>
      <c r="V487" s="146">
        <f t="shared" si="39"/>
        <v>9.25</v>
      </c>
      <c r="W487" s="150">
        <f t="shared" si="40"/>
        <v>23.75</v>
      </c>
      <c r="X487" s="146">
        <f t="shared" si="41"/>
        <v>23.75</v>
      </c>
    </row>
    <row r="488" spans="1:24" ht="9.75" customHeight="1" x14ac:dyDescent="0.25">
      <c r="A488" s="288">
        <v>741</v>
      </c>
      <c r="B488" s="288"/>
      <c r="D488" s="258" t="s">
        <v>305</v>
      </c>
      <c r="E488" s="289">
        <v>39325</v>
      </c>
      <c r="F488" s="289"/>
      <c r="G488" s="289"/>
      <c r="H488" s="289"/>
      <c r="I488" s="290" t="s">
        <v>205</v>
      </c>
      <c r="J488" s="290"/>
      <c r="K488" s="290"/>
      <c r="L488" s="47">
        <v>33</v>
      </c>
      <c r="M488" s="262">
        <v>1980</v>
      </c>
      <c r="N488" s="47">
        <v>100</v>
      </c>
      <c r="O488" s="291">
        <v>560</v>
      </c>
      <c r="P488" s="291"/>
      <c r="Q488" s="291"/>
      <c r="R488" s="262">
        <v>60</v>
      </c>
      <c r="S488" s="262">
        <v>620</v>
      </c>
      <c r="U488" s="149">
        <f t="shared" si="38"/>
        <v>51370</v>
      </c>
      <c r="V488" s="146">
        <f t="shared" si="39"/>
        <v>10.333333333333334</v>
      </c>
      <c r="W488" s="150">
        <f t="shared" si="40"/>
        <v>22.666666666666664</v>
      </c>
      <c r="X488" s="146">
        <f t="shared" si="41"/>
        <v>22.666666666666664</v>
      </c>
    </row>
    <row r="489" spans="1:24" ht="9.75" customHeight="1" x14ac:dyDescent="0.25">
      <c r="A489" s="288">
        <v>743</v>
      </c>
      <c r="B489" s="288"/>
      <c r="D489" s="258" t="s">
        <v>305</v>
      </c>
      <c r="E489" s="289">
        <v>39355</v>
      </c>
      <c r="F489" s="289"/>
      <c r="G489" s="289"/>
      <c r="H489" s="289"/>
      <c r="I489" s="290" t="s">
        <v>205</v>
      </c>
      <c r="J489" s="290"/>
      <c r="K489" s="290"/>
      <c r="L489" s="47">
        <v>33</v>
      </c>
      <c r="M489" s="262">
        <v>3135</v>
      </c>
      <c r="N489" s="47">
        <v>100</v>
      </c>
      <c r="O489" s="291">
        <v>878.75</v>
      </c>
      <c r="P489" s="291"/>
      <c r="Q489" s="291"/>
      <c r="R489" s="262">
        <v>95</v>
      </c>
      <c r="S489" s="262">
        <v>973.75</v>
      </c>
      <c r="U489" s="149">
        <f t="shared" si="38"/>
        <v>51400</v>
      </c>
      <c r="V489" s="146">
        <f t="shared" si="39"/>
        <v>10.25</v>
      </c>
      <c r="W489" s="150">
        <f t="shared" si="40"/>
        <v>22.75</v>
      </c>
      <c r="X489" s="146">
        <f t="shared" si="41"/>
        <v>22.75</v>
      </c>
    </row>
    <row r="490" spans="1:24" ht="9.75" customHeight="1" x14ac:dyDescent="0.25">
      <c r="A490" s="288">
        <v>749</v>
      </c>
      <c r="B490" s="288"/>
      <c r="D490" s="258" t="s">
        <v>306</v>
      </c>
      <c r="E490" s="289">
        <v>39386</v>
      </c>
      <c r="F490" s="289"/>
      <c r="G490" s="289"/>
      <c r="H490" s="289"/>
      <c r="I490" s="290" t="s">
        <v>205</v>
      </c>
      <c r="J490" s="290"/>
      <c r="K490" s="290"/>
      <c r="L490" s="47">
        <v>33</v>
      </c>
      <c r="M490" s="262">
        <v>1410</v>
      </c>
      <c r="N490" s="47">
        <v>100</v>
      </c>
      <c r="O490" s="291">
        <v>391.69</v>
      </c>
      <c r="P490" s="291"/>
      <c r="Q490" s="291"/>
      <c r="R490" s="262">
        <v>42.730000000000004</v>
      </c>
      <c r="S490" s="262">
        <v>434.42</v>
      </c>
      <c r="U490" s="149">
        <f t="shared" si="38"/>
        <v>51431</v>
      </c>
      <c r="V490" s="146">
        <f t="shared" si="39"/>
        <v>10.166666666666666</v>
      </c>
      <c r="W490" s="150">
        <f t="shared" si="40"/>
        <v>22.833333333333336</v>
      </c>
      <c r="X490" s="146">
        <f t="shared" si="41"/>
        <v>22.833333333333336</v>
      </c>
    </row>
    <row r="491" spans="1:24" ht="9.75" customHeight="1" x14ac:dyDescent="0.25">
      <c r="A491" s="288">
        <v>754</v>
      </c>
      <c r="B491" s="288"/>
      <c r="D491" s="258" t="s">
        <v>305</v>
      </c>
      <c r="E491" s="289">
        <v>39416</v>
      </c>
      <c r="F491" s="289"/>
      <c r="G491" s="289"/>
      <c r="H491" s="289"/>
      <c r="I491" s="290" t="s">
        <v>205</v>
      </c>
      <c r="J491" s="290"/>
      <c r="K491" s="290"/>
      <c r="L491" s="47">
        <v>33</v>
      </c>
      <c r="M491" s="262">
        <v>1695</v>
      </c>
      <c r="N491" s="47">
        <v>100</v>
      </c>
      <c r="O491" s="291">
        <v>466.52</v>
      </c>
      <c r="P491" s="291"/>
      <c r="Q491" s="291"/>
      <c r="R491" s="262">
        <v>51.36</v>
      </c>
      <c r="S491" s="262">
        <v>517.88</v>
      </c>
      <c r="U491" s="149">
        <f t="shared" ref="U491:U522" si="42">E491+(L491*365)</f>
        <v>51461</v>
      </c>
      <c r="V491" s="146">
        <f t="shared" ref="V491:V522" si="43">YEARFRAC(E491,$V$14)</f>
        <v>10.083333333333334</v>
      </c>
      <c r="W491" s="150">
        <f t="shared" ref="W491:W522" si="44">IF(V491&gt;L491,0,L491-V491)</f>
        <v>22.916666666666664</v>
      </c>
      <c r="X491" s="146">
        <f t="shared" ref="X491:X511" si="45">IF(W491=0,0,W491)</f>
        <v>22.916666666666664</v>
      </c>
    </row>
    <row r="492" spans="1:24" ht="9.75" customHeight="1" x14ac:dyDescent="0.25">
      <c r="A492" s="288">
        <v>758</v>
      </c>
      <c r="B492" s="288"/>
      <c r="D492" s="258" t="s">
        <v>305</v>
      </c>
      <c r="E492" s="289">
        <v>39447</v>
      </c>
      <c r="F492" s="289"/>
      <c r="G492" s="289"/>
      <c r="H492" s="289"/>
      <c r="I492" s="290" t="s">
        <v>205</v>
      </c>
      <c r="J492" s="290"/>
      <c r="K492" s="290"/>
      <c r="L492" s="47">
        <v>33</v>
      </c>
      <c r="M492" s="262">
        <v>1350</v>
      </c>
      <c r="N492" s="47">
        <v>100</v>
      </c>
      <c r="O492" s="291">
        <v>368.19</v>
      </c>
      <c r="P492" s="291"/>
      <c r="Q492" s="291"/>
      <c r="R492" s="262">
        <v>40.909999999999997</v>
      </c>
      <c r="S492" s="262">
        <v>409.1</v>
      </c>
      <c r="U492" s="149">
        <f t="shared" si="42"/>
        <v>51492</v>
      </c>
      <c r="V492" s="146">
        <f t="shared" si="43"/>
        <v>10</v>
      </c>
      <c r="W492" s="150">
        <f t="shared" si="44"/>
        <v>23</v>
      </c>
      <c r="X492" s="146">
        <f t="shared" si="45"/>
        <v>23</v>
      </c>
    </row>
    <row r="493" spans="1:24" ht="9.75" customHeight="1" x14ac:dyDescent="0.25">
      <c r="A493" s="288">
        <v>760</v>
      </c>
      <c r="B493" s="288"/>
      <c r="D493" s="258" t="s">
        <v>306</v>
      </c>
      <c r="E493" s="289">
        <v>39752</v>
      </c>
      <c r="F493" s="289"/>
      <c r="G493" s="289"/>
      <c r="H493" s="289"/>
      <c r="I493" s="290" t="s">
        <v>205</v>
      </c>
      <c r="J493" s="290"/>
      <c r="K493" s="290"/>
      <c r="L493" s="47">
        <v>33</v>
      </c>
      <c r="M493" s="262">
        <v>1597.5</v>
      </c>
      <c r="N493" s="47">
        <v>100</v>
      </c>
      <c r="O493" s="291">
        <v>395.35</v>
      </c>
      <c r="P493" s="291"/>
      <c r="Q493" s="291"/>
      <c r="R493" s="262">
        <v>48.410000000000004</v>
      </c>
      <c r="S493" s="262">
        <v>443.76</v>
      </c>
      <c r="U493" s="149">
        <f t="shared" si="42"/>
        <v>51797</v>
      </c>
      <c r="V493" s="146">
        <f t="shared" si="43"/>
        <v>9.1666666666666661</v>
      </c>
      <c r="W493" s="150">
        <f t="shared" si="44"/>
        <v>23.833333333333336</v>
      </c>
      <c r="X493" s="146">
        <f t="shared" si="45"/>
        <v>23.833333333333336</v>
      </c>
    </row>
    <row r="494" spans="1:24" ht="9.75" customHeight="1" x14ac:dyDescent="0.25">
      <c r="A494" s="288">
        <v>767</v>
      </c>
      <c r="B494" s="288"/>
      <c r="D494" s="258" t="s">
        <v>72</v>
      </c>
      <c r="E494" s="289">
        <v>39782</v>
      </c>
      <c r="F494" s="289"/>
      <c r="G494" s="289"/>
      <c r="H494" s="289"/>
      <c r="I494" s="290" t="s">
        <v>205</v>
      </c>
      <c r="J494" s="290"/>
      <c r="K494" s="290"/>
      <c r="L494" s="47">
        <v>33</v>
      </c>
      <c r="M494" s="262">
        <v>495</v>
      </c>
      <c r="N494" s="47">
        <v>100</v>
      </c>
      <c r="O494" s="291">
        <v>121.25</v>
      </c>
      <c r="P494" s="291"/>
      <c r="Q494" s="291"/>
      <c r="R494" s="262">
        <v>15</v>
      </c>
      <c r="S494" s="262">
        <v>136.25</v>
      </c>
      <c r="U494" s="149">
        <f t="shared" si="42"/>
        <v>51827</v>
      </c>
      <c r="V494" s="146">
        <f t="shared" si="43"/>
        <v>9.0833333333333339</v>
      </c>
      <c r="W494" s="150">
        <f t="shared" si="44"/>
        <v>23.916666666666664</v>
      </c>
      <c r="X494" s="146">
        <f t="shared" si="45"/>
        <v>23.916666666666664</v>
      </c>
    </row>
    <row r="495" spans="1:24" ht="9.75" customHeight="1" x14ac:dyDescent="0.25">
      <c r="A495" s="288">
        <v>775</v>
      </c>
      <c r="B495" s="288"/>
      <c r="D495" s="258" t="s">
        <v>306</v>
      </c>
      <c r="E495" s="289">
        <v>39813</v>
      </c>
      <c r="F495" s="289"/>
      <c r="G495" s="289"/>
      <c r="H495" s="289"/>
      <c r="I495" s="290" t="s">
        <v>205</v>
      </c>
      <c r="J495" s="290"/>
      <c r="K495" s="290"/>
      <c r="L495" s="47">
        <v>33</v>
      </c>
      <c r="M495" s="262">
        <v>840</v>
      </c>
      <c r="N495" s="47">
        <v>100</v>
      </c>
      <c r="O495" s="291">
        <v>203.6</v>
      </c>
      <c r="P495" s="291"/>
      <c r="Q495" s="291"/>
      <c r="R495" s="262">
        <v>25.45</v>
      </c>
      <c r="S495" s="262">
        <v>229.05</v>
      </c>
      <c r="U495" s="149">
        <f t="shared" si="42"/>
        <v>51858</v>
      </c>
      <c r="V495" s="146">
        <f t="shared" si="43"/>
        <v>9</v>
      </c>
      <c r="W495" s="150">
        <f t="shared" si="44"/>
        <v>24</v>
      </c>
      <c r="X495" s="146">
        <f t="shared" si="45"/>
        <v>24</v>
      </c>
    </row>
    <row r="496" spans="1:24" ht="9.75" customHeight="1" x14ac:dyDescent="0.25">
      <c r="A496" s="288">
        <v>778</v>
      </c>
      <c r="B496" s="288"/>
      <c r="D496" s="258" t="s">
        <v>313</v>
      </c>
      <c r="E496" s="289">
        <v>39844</v>
      </c>
      <c r="F496" s="289"/>
      <c r="G496" s="289"/>
      <c r="H496" s="289"/>
      <c r="I496" s="290" t="s">
        <v>205</v>
      </c>
      <c r="J496" s="290"/>
      <c r="K496" s="290"/>
      <c r="L496" s="47">
        <v>33</v>
      </c>
      <c r="M496" s="262">
        <v>855</v>
      </c>
      <c r="N496" s="47">
        <v>100</v>
      </c>
      <c r="O496" s="291">
        <v>205.12</v>
      </c>
      <c r="P496" s="291"/>
      <c r="Q496" s="291"/>
      <c r="R496" s="262">
        <v>25.91</v>
      </c>
      <c r="S496" s="262">
        <v>231.03</v>
      </c>
      <c r="U496" s="149">
        <f t="shared" si="42"/>
        <v>51889</v>
      </c>
      <c r="V496" s="146">
        <f t="shared" si="43"/>
        <v>8.9166666666666661</v>
      </c>
      <c r="W496" s="150">
        <f t="shared" si="44"/>
        <v>24.083333333333336</v>
      </c>
      <c r="X496" s="146">
        <f t="shared" si="45"/>
        <v>24.083333333333336</v>
      </c>
    </row>
    <row r="497" spans="1:24" ht="9.75" customHeight="1" x14ac:dyDescent="0.25">
      <c r="A497" s="288">
        <v>781</v>
      </c>
      <c r="B497" s="288"/>
      <c r="D497" s="258" t="s">
        <v>305</v>
      </c>
      <c r="E497" s="289">
        <v>39872</v>
      </c>
      <c r="F497" s="289"/>
      <c r="G497" s="289"/>
      <c r="H497" s="289"/>
      <c r="I497" s="290" t="s">
        <v>205</v>
      </c>
      <c r="J497" s="290"/>
      <c r="K497" s="290"/>
      <c r="L497" s="47">
        <v>33</v>
      </c>
      <c r="M497" s="262">
        <v>1143</v>
      </c>
      <c r="N497" s="47">
        <v>100</v>
      </c>
      <c r="O497" s="291">
        <v>271.35000000000002</v>
      </c>
      <c r="P497" s="291"/>
      <c r="Q497" s="291"/>
      <c r="R497" s="262">
        <v>34.64</v>
      </c>
      <c r="S497" s="262">
        <v>305.99</v>
      </c>
      <c r="U497" s="149">
        <f t="shared" si="42"/>
        <v>51917</v>
      </c>
      <c r="V497" s="146">
        <f t="shared" si="43"/>
        <v>8.8361111111111104</v>
      </c>
      <c r="W497" s="150">
        <f t="shared" si="44"/>
        <v>24.163888888888891</v>
      </c>
      <c r="X497" s="146">
        <f t="shared" si="45"/>
        <v>24.163888888888891</v>
      </c>
    </row>
    <row r="498" spans="1:24" ht="9.75" customHeight="1" x14ac:dyDescent="0.25">
      <c r="A498" s="288">
        <v>785</v>
      </c>
      <c r="B498" s="288"/>
      <c r="D498" s="258" t="s">
        <v>305</v>
      </c>
      <c r="E498" s="289">
        <v>39903</v>
      </c>
      <c r="F498" s="289"/>
      <c r="G498" s="289"/>
      <c r="H498" s="289"/>
      <c r="I498" s="290" t="s">
        <v>205</v>
      </c>
      <c r="J498" s="290"/>
      <c r="K498" s="290"/>
      <c r="L498" s="47">
        <v>33</v>
      </c>
      <c r="M498" s="262">
        <v>432</v>
      </c>
      <c r="N498" s="47">
        <v>100</v>
      </c>
      <c r="O498" s="291">
        <v>101.45</v>
      </c>
      <c r="P498" s="291"/>
      <c r="Q498" s="291"/>
      <c r="R498" s="262">
        <v>13.09</v>
      </c>
      <c r="S498" s="262">
        <v>114.54</v>
      </c>
      <c r="U498" s="149">
        <f t="shared" si="42"/>
        <v>51948</v>
      </c>
      <c r="V498" s="146">
        <f t="shared" si="43"/>
        <v>8.75</v>
      </c>
      <c r="W498" s="150">
        <f t="shared" si="44"/>
        <v>24.25</v>
      </c>
      <c r="X498" s="146">
        <f t="shared" si="45"/>
        <v>24.25</v>
      </c>
    </row>
    <row r="499" spans="1:24" ht="9.75" customHeight="1" x14ac:dyDescent="0.25">
      <c r="A499" s="288">
        <v>792</v>
      </c>
      <c r="B499" s="288"/>
      <c r="D499" s="258" t="s">
        <v>305</v>
      </c>
      <c r="E499" s="289">
        <v>39964</v>
      </c>
      <c r="F499" s="289"/>
      <c r="G499" s="289"/>
      <c r="H499" s="289"/>
      <c r="I499" s="290" t="s">
        <v>205</v>
      </c>
      <c r="J499" s="290"/>
      <c r="K499" s="290"/>
      <c r="L499" s="47">
        <v>33</v>
      </c>
      <c r="M499" s="262">
        <v>189</v>
      </c>
      <c r="N499" s="47">
        <v>100</v>
      </c>
      <c r="O499" s="291">
        <v>43.45</v>
      </c>
      <c r="P499" s="291"/>
      <c r="Q499" s="291"/>
      <c r="R499" s="262">
        <v>5.73</v>
      </c>
      <c r="S499" s="262">
        <v>49.18</v>
      </c>
      <c r="U499" s="149">
        <f t="shared" si="42"/>
        <v>52009</v>
      </c>
      <c r="V499" s="146">
        <f t="shared" si="43"/>
        <v>8.5833333333333339</v>
      </c>
      <c r="W499" s="150">
        <f t="shared" si="44"/>
        <v>24.416666666666664</v>
      </c>
      <c r="X499" s="146">
        <f t="shared" si="45"/>
        <v>24.416666666666664</v>
      </c>
    </row>
    <row r="500" spans="1:24" ht="9.75" customHeight="1" x14ac:dyDescent="0.25">
      <c r="A500" s="288">
        <v>795</v>
      </c>
      <c r="B500" s="288"/>
      <c r="D500" s="258" t="s">
        <v>305</v>
      </c>
      <c r="E500" s="289">
        <v>39994</v>
      </c>
      <c r="F500" s="289"/>
      <c r="G500" s="289"/>
      <c r="H500" s="289"/>
      <c r="I500" s="290" t="s">
        <v>205</v>
      </c>
      <c r="J500" s="290"/>
      <c r="K500" s="290"/>
      <c r="L500" s="47">
        <v>33</v>
      </c>
      <c r="M500" s="262">
        <v>18</v>
      </c>
      <c r="N500" s="47">
        <v>100</v>
      </c>
      <c r="O500" s="291">
        <v>4.13</v>
      </c>
      <c r="P500" s="291"/>
      <c r="Q500" s="291"/>
      <c r="R500" s="262">
        <v>0.55000000000000004</v>
      </c>
      <c r="S500" s="262">
        <v>4.68</v>
      </c>
      <c r="U500" s="149">
        <f t="shared" si="42"/>
        <v>52039</v>
      </c>
      <c r="V500" s="146">
        <f t="shared" si="43"/>
        <v>8.5</v>
      </c>
      <c r="W500" s="150">
        <f t="shared" si="44"/>
        <v>24.5</v>
      </c>
      <c r="X500" s="146">
        <f t="shared" si="45"/>
        <v>24.5</v>
      </c>
    </row>
    <row r="501" spans="1:24" ht="9.75" customHeight="1" x14ac:dyDescent="0.25">
      <c r="A501" s="288">
        <v>798</v>
      </c>
      <c r="B501" s="288"/>
      <c r="D501" s="258" t="s">
        <v>305</v>
      </c>
      <c r="E501" s="289">
        <v>40025</v>
      </c>
      <c r="F501" s="289"/>
      <c r="G501" s="289"/>
      <c r="H501" s="289"/>
      <c r="I501" s="290" t="s">
        <v>205</v>
      </c>
      <c r="J501" s="290"/>
      <c r="K501" s="290"/>
      <c r="L501" s="47">
        <v>33</v>
      </c>
      <c r="M501" s="262">
        <v>54</v>
      </c>
      <c r="N501" s="47">
        <v>100</v>
      </c>
      <c r="O501" s="291">
        <v>12.16</v>
      </c>
      <c r="P501" s="291"/>
      <c r="Q501" s="291"/>
      <c r="R501" s="262">
        <v>1.6400000000000001</v>
      </c>
      <c r="S501" s="262">
        <v>13.8</v>
      </c>
      <c r="U501" s="149">
        <f t="shared" si="42"/>
        <v>52070</v>
      </c>
      <c r="V501" s="146">
        <f t="shared" si="43"/>
        <v>8.4166666666666661</v>
      </c>
      <c r="W501" s="150">
        <f t="shared" si="44"/>
        <v>24.583333333333336</v>
      </c>
      <c r="X501" s="146">
        <f t="shared" si="45"/>
        <v>24.583333333333336</v>
      </c>
    </row>
    <row r="502" spans="1:24" ht="9.75" customHeight="1" x14ac:dyDescent="0.25">
      <c r="A502" s="288">
        <v>815</v>
      </c>
      <c r="B502" s="288"/>
      <c r="D502" s="258" t="s">
        <v>305</v>
      </c>
      <c r="E502" s="289">
        <v>40147</v>
      </c>
      <c r="F502" s="289"/>
      <c r="G502" s="289"/>
      <c r="H502" s="289"/>
      <c r="I502" s="290" t="s">
        <v>205</v>
      </c>
      <c r="J502" s="290"/>
      <c r="K502" s="290"/>
      <c r="L502" s="47">
        <v>33</v>
      </c>
      <c r="M502" s="262">
        <v>297</v>
      </c>
      <c r="N502" s="47">
        <v>100</v>
      </c>
      <c r="O502" s="291">
        <v>63.75</v>
      </c>
      <c r="P502" s="291"/>
      <c r="Q502" s="291"/>
      <c r="R502" s="262">
        <v>9</v>
      </c>
      <c r="S502" s="262">
        <v>72.75</v>
      </c>
      <c r="U502" s="149">
        <f t="shared" si="42"/>
        <v>52192</v>
      </c>
      <c r="V502" s="146">
        <f t="shared" si="43"/>
        <v>8.0833333333333339</v>
      </c>
      <c r="W502" s="150">
        <f t="shared" si="44"/>
        <v>24.916666666666664</v>
      </c>
      <c r="X502" s="146">
        <f t="shared" si="45"/>
        <v>24.916666666666664</v>
      </c>
    </row>
    <row r="503" spans="1:24" ht="9.75" customHeight="1" x14ac:dyDescent="0.25">
      <c r="A503" s="288">
        <v>818</v>
      </c>
      <c r="B503" s="288"/>
      <c r="D503" s="258" t="s">
        <v>169</v>
      </c>
      <c r="E503" s="289">
        <v>40178</v>
      </c>
      <c r="F503" s="289"/>
      <c r="G503" s="289"/>
      <c r="H503" s="289"/>
      <c r="I503" s="290" t="s">
        <v>205</v>
      </c>
      <c r="J503" s="290"/>
      <c r="K503" s="290"/>
      <c r="L503" s="47">
        <v>33</v>
      </c>
      <c r="M503" s="262">
        <v>24810</v>
      </c>
      <c r="N503" s="47">
        <v>100</v>
      </c>
      <c r="O503" s="291">
        <v>5262.74</v>
      </c>
      <c r="P503" s="291"/>
      <c r="Q503" s="291"/>
      <c r="R503" s="262">
        <v>751.82</v>
      </c>
      <c r="S503" s="262">
        <v>6014.56</v>
      </c>
      <c r="U503" s="149">
        <f t="shared" si="42"/>
        <v>52223</v>
      </c>
      <c r="V503" s="146">
        <f t="shared" si="43"/>
        <v>8</v>
      </c>
      <c r="W503" s="150">
        <f t="shared" si="44"/>
        <v>25</v>
      </c>
      <c r="X503" s="146">
        <f t="shared" si="45"/>
        <v>25</v>
      </c>
    </row>
    <row r="504" spans="1:24" ht="9.75" customHeight="1" x14ac:dyDescent="0.25">
      <c r="A504" s="288">
        <v>821</v>
      </c>
      <c r="B504" s="288"/>
      <c r="D504" s="258" t="s">
        <v>305</v>
      </c>
      <c r="E504" s="289">
        <v>40209</v>
      </c>
      <c r="F504" s="289"/>
      <c r="G504" s="289"/>
      <c r="H504" s="289"/>
      <c r="I504" s="290" t="s">
        <v>205</v>
      </c>
      <c r="J504" s="290"/>
      <c r="K504" s="290"/>
      <c r="L504" s="47">
        <v>33</v>
      </c>
      <c r="M504" s="262">
        <v>45</v>
      </c>
      <c r="N504" s="47">
        <v>100</v>
      </c>
      <c r="O504" s="291">
        <v>9.41</v>
      </c>
      <c r="P504" s="291"/>
      <c r="Q504" s="291"/>
      <c r="R504" s="262">
        <v>1.36</v>
      </c>
      <c r="S504" s="262">
        <v>10.77</v>
      </c>
      <c r="U504" s="149">
        <f t="shared" si="42"/>
        <v>52254</v>
      </c>
      <c r="V504" s="146">
        <f t="shared" si="43"/>
        <v>7.916666666666667</v>
      </c>
      <c r="W504" s="150">
        <f t="shared" si="44"/>
        <v>25.083333333333332</v>
      </c>
      <c r="X504" s="146">
        <f t="shared" si="45"/>
        <v>25.083333333333332</v>
      </c>
    </row>
    <row r="505" spans="1:24" ht="9.75" customHeight="1" x14ac:dyDescent="0.25">
      <c r="A505" s="288">
        <v>830</v>
      </c>
      <c r="B505" s="288"/>
      <c r="D505" s="258" t="s">
        <v>306</v>
      </c>
      <c r="E505" s="289">
        <v>40268</v>
      </c>
      <c r="F505" s="289"/>
      <c r="G505" s="289"/>
      <c r="H505" s="289"/>
      <c r="I505" s="290" t="s">
        <v>205</v>
      </c>
      <c r="J505" s="290"/>
      <c r="K505" s="290"/>
      <c r="L505" s="47">
        <v>33</v>
      </c>
      <c r="M505" s="262">
        <v>54</v>
      </c>
      <c r="N505" s="47">
        <v>100</v>
      </c>
      <c r="O505" s="291">
        <v>11.07</v>
      </c>
      <c r="P505" s="291"/>
      <c r="Q505" s="291"/>
      <c r="R505" s="262">
        <v>1.6400000000000001</v>
      </c>
      <c r="S505" s="262">
        <v>12.71</v>
      </c>
      <c r="U505" s="149">
        <f t="shared" si="42"/>
        <v>52313</v>
      </c>
      <c r="V505" s="146">
        <f t="shared" si="43"/>
        <v>7.75</v>
      </c>
      <c r="W505" s="150">
        <f t="shared" si="44"/>
        <v>25.25</v>
      </c>
      <c r="X505" s="146">
        <f t="shared" si="45"/>
        <v>25.25</v>
      </c>
    </row>
    <row r="506" spans="1:24" ht="9.75" customHeight="1" x14ac:dyDescent="0.25">
      <c r="A506" s="288">
        <v>838</v>
      </c>
      <c r="B506" s="288"/>
      <c r="D506" s="258" t="s">
        <v>306</v>
      </c>
      <c r="E506" s="289">
        <v>40329</v>
      </c>
      <c r="F506" s="289"/>
      <c r="G506" s="289"/>
      <c r="H506" s="289"/>
      <c r="I506" s="290" t="s">
        <v>205</v>
      </c>
      <c r="J506" s="290"/>
      <c r="K506" s="290"/>
      <c r="L506" s="47">
        <v>33</v>
      </c>
      <c r="M506" s="262">
        <v>54</v>
      </c>
      <c r="N506" s="47">
        <v>100</v>
      </c>
      <c r="O506" s="291">
        <v>10.8</v>
      </c>
      <c r="P506" s="291"/>
      <c r="Q506" s="291"/>
      <c r="R506" s="262">
        <v>1.6400000000000001</v>
      </c>
      <c r="S506" s="262">
        <v>12.44</v>
      </c>
      <c r="U506" s="149">
        <f t="shared" si="42"/>
        <v>52374</v>
      </c>
      <c r="V506" s="146">
        <f t="shared" si="43"/>
        <v>7.583333333333333</v>
      </c>
      <c r="W506" s="150">
        <f t="shared" si="44"/>
        <v>25.416666666666668</v>
      </c>
      <c r="X506" s="146">
        <f t="shared" si="45"/>
        <v>25.416666666666668</v>
      </c>
    </row>
    <row r="507" spans="1:24" ht="9.75" customHeight="1" x14ac:dyDescent="0.25">
      <c r="A507" s="288">
        <v>843</v>
      </c>
      <c r="B507" s="288"/>
      <c r="D507" s="258" t="s">
        <v>314</v>
      </c>
      <c r="E507" s="289">
        <v>40390</v>
      </c>
      <c r="F507" s="289"/>
      <c r="G507" s="289"/>
      <c r="H507" s="289"/>
      <c r="I507" s="290" t="s">
        <v>205</v>
      </c>
      <c r="J507" s="290"/>
      <c r="K507" s="290"/>
      <c r="L507" s="47">
        <v>33</v>
      </c>
      <c r="M507" s="262">
        <v>360</v>
      </c>
      <c r="N507" s="47">
        <v>100</v>
      </c>
      <c r="O507" s="291">
        <v>70.010000000000005</v>
      </c>
      <c r="P507" s="291"/>
      <c r="Q507" s="291"/>
      <c r="R507" s="262">
        <v>10.91</v>
      </c>
      <c r="S507" s="262">
        <v>80.92</v>
      </c>
      <c r="U507" s="149">
        <f t="shared" si="42"/>
        <v>52435</v>
      </c>
      <c r="V507" s="146">
        <f t="shared" si="43"/>
        <v>7.416666666666667</v>
      </c>
      <c r="W507" s="150">
        <f t="shared" si="44"/>
        <v>25.583333333333332</v>
      </c>
      <c r="X507" s="146">
        <f t="shared" si="45"/>
        <v>25.583333333333332</v>
      </c>
    </row>
    <row r="508" spans="1:24" ht="9.75" customHeight="1" x14ac:dyDescent="0.25">
      <c r="A508" s="288">
        <v>851</v>
      </c>
      <c r="B508" s="288"/>
      <c r="D508" s="258" t="s">
        <v>306</v>
      </c>
      <c r="E508" s="289">
        <v>40451</v>
      </c>
      <c r="F508" s="289"/>
      <c r="G508" s="289"/>
      <c r="H508" s="289"/>
      <c r="I508" s="290" t="s">
        <v>205</v>
      </c>
      <c r="J508" s="290"/>
      <c r="K508" s="290"/>
      <c r="L508" s="47">
        <v>33</v>
      </c>
      <c r="M508" s="262">
        <v>36</v>
      </c>
      <c r="N508" s="47">
        <v>100</v>
      </c>
      <c r="O508" s="291">
        <v>6.8100000000000005</v>
      </c>
      <c r="P508" s="291"/>
      <c r="Q508" s="291"/>
      <c r="R508" s="262">
        <v>1.0900000000000001</v>
      </c>
      <c r="S508" s="262">
        <v>7.9</v>
      </c>
      <c r="U508" s="149">
        <f t="shared" si="42"/>
        <v>52496</v>
      </c>
      <c r="V508" s="146">
        <f t="shared" si="43"/>
        <v>7.25</v>
      </c>
      <c r="W508" s="150">
        <f t="shared" si="44"/>
        <v>25.75</v>
      </c>
      <c r="X508" s="146">
        <f t="shared" si="45"/>
        <v>25.75</v>
      </c>
    </row>
    <row r="509" spans="1:24" ht="9.75" customHeight="1" x14ac:dyDescent="0.25">
      <c r="A509" s="288">
        <v>856</v>
      </c>
      <c r="B509" s="288"/>
      <c r="D509" s="258" t="s">
        <v>315</v>
      </c>
      <c r="E509" s="289">
        <v>40482</v>
      </c>
      <c r="F509" s="289"/>
      <c r="G509" s="289"/>
      <c r="H509" s="289"/>
      <c r="I509" s="290" t="s">
        <v>205</v>
      </c>
      <c r="J509" s="290"/>
      <c r="K509" s="290"/>
      <c r="L509" s="47">
        <v>33</v>
      </c>
      <c r="M509" s="262">
        <v>36</v>
      </c>
      <c r="N509" s="47">
        <v>100</v>
      </c>
      <c r="O509" s="291">
        <v>6.72</v>
      </c>
      <c r="P509" s="291"/>
      <c r="Q509" s="291"/>
      <c r="R509" s="262">
        <v>1.0900000000000001</v>
      </c>
      <c r="S509" s="262">
        <v>7.8100000000000005</v>
      </c>
      <c r="U509" s="149">
        <f t="shared" si="42"/>
        <v>52527</v>
      </c>
      <c r="V509" s="146">
        <f t="shared" si="43"/>
        <v>7.166666666666667</v>
      </c>
      <c r="W509" s="150">
        <f t="shared" si="44"/>
        <v>25.833333333333332</v>
      </c>
      <c r="X509" s="146">
        <f t="shared" si="45"/>
        <v>25.833333333333332</v>
      </c>
    </row>
    <row r="510" spans="1:24" ht="9.75" customHeight="1" x14ac:dyDescent="0.25">
      <c r="A510" s="288">
        <v>863</v>
      </c>
      <c r="B510" s="288"/>
      <c r="D510" s="258" t="s">
        <v>316</v>
      </c>
      <c r="E510" s="289">
        <v>40512</v>
      </c>
      <c r="F510" s="289"/>
      <c r="G510" s="289"/>
      <c r="H510" s="289"/>
      <c r="I510" s="290" t="s">
        <v>205</v>
      </c>
      <c r="J510" s="290"/>
      <c r="K510" s="290"/>
      <c r="L510" s="47">
        <v>33</v>
      </c>
      <c r="M510" s="262">
        <v>99</v>
      </c>
      <c r="N510" s="47">
        <v>100</v>
      </c>
      <c r="O510" s="291">
        <v>18.25</v>
      </c>
      <c r="P510" s="291"/>
      <c r="Q510" s="291"/>
      <c r="R510" s="262">
        <v>3</v>
      </c>
      <c r="S510" s="262">
        <v>21.25</v>
      </c>
      <c r="U510" s="149">
        <f t="shared" si="42"/>
        <v>52557</v>
      </c>
      <c r="V510" s="146">
        <f t="shared" si="43"/>
        <v>7.083333333333333</v>
      </c>
      <c r="W510" s="150">
        <f t="shared" si="44"/>
        <v>25.916666666666668</v>
      </c>
      <c r="X510" s="146">
        <f t="shared" si="45"/>
        <v>25.916666666666668</v>
      </c>
    </row>
    <row r="511" spans="1:24" ht="9.75" customHeight="1" x14ac:dyDescent="0.25">
      <c r="A511" s="288">
        <v>875</v>
      </c>
      <c r="B511" s="288"/>
      <c r="D511" s="258" t="s">
        <v>306</v>
      </c>
      <c r="E511" s="289">
        <v>40543</v>
      </c>
      <c r="F511" s="289"/>
      <c r="G511" s="289"/>
      <c r="H511" s="289"/>
      <c r="I511" s="290" t="s">
        <v>205</v>
      </c>
      <c r="J511" s="290"/>
      <c r="K511" s="290"/>
      <c r="L511" s="47">
        <v>33</v>
      </c>
      <c r="M511" s="262">
        <v>63</v>
      </c>
      <c r="N511" s="47">
        <v>100</v>
      </c>
      <c r="O511" s="291">
        <v>11.46</v>
      </c>
      <c r="P511" s="291"/>
      <c r="Q511" s="291"/>
      <c r="R511" s="262">
        <v>1.9100000000000001</v>
      </c>
      <c r="S511" s="262">
        <v>13.370000000000001</v>
      </c>
      <c r="U511" s="149">
        <f t="shared" si="42"/>
        <v>52588</v>
      </c>
      <c r="V511" s="146">
        <f t="shared" si="43"/>
        <v>7</v>
      </c>
      <c r="W511" s="150">
        <f t="shared" si="44"/>
        <v>26</v>
      </c>
      <c r="X511" s="146">
        <f t="shared" si="45"/>
        <v>26</v>
      </c>
    </row>
    <row r="512" spans="1:24" ht="9.75" customHeight="1" x14ac:dyDescent="0.25">
      <c r="A512" s="288">
        <v>880</v>
      </c>
      <c r="B512" s="288"/>
      <c r="D512" s="258" t="s">
        <v>317</v>
      </c>
      <c r="E512" s="289">
        <v>40543</v>
      </c>
      <c r="F512" s="289"/>
      <c r="G512" s="289"/>
      <c r="H512" s="289"/>
      <c r="I512" s="290" t="s">
        <v>258</v>
      </c>
      <c r="J512" s="290"/>
      <c r="K512" s="290"/>
      <c r="L512" s="47">
        <v>33</v>
      </c>
      <c r="M512" s="262">
        <v>36</v>
      </c>
      <c r="N512" s="47">
        <v>100</v>
      </c>
      <c r="O512" s="291">
        <v>36</v>
      </c>
      <c r="P512" s="291"/>
      <c r="Q512" s="291"/>
      <c r="R512" s="262">
        <v>0</v>
      </c>
      <c r="S512" s="262">
        <v>36</v>
      </c>
      <c r="U512" s="149">
        <f t="shared" si="42"/>
        <v>52588</v>
      </c>
      <c r="V512" s="146">
        <f t="shared" si="43"/>
        <v>7</v>
      </c>
      <c r="W512" s="150">
        <f t="shared" si="44"/>
        <v>26</v>
      </c>
      <c r="X512" s="146">
        <f t="shared" ref="X512:X532" si="46">IF(W512=0,0,W512)</f>
        <v>26</v>
      </c>
    </row>
    <row r="513" spans="1:24" ht="9.75" customHeight="1" x14ac:dyDescent="0.25">
      <c r="A513" s="288">
        <v>884</v>
      </c>
      <c r="B513" s="288"/>
      <c r="D513" s="258" t="s">
        <v>306</v>
      </c>
      <c r="E513" s="289">
        <v>40574</v>
      </c>
      <c r="F513" s="289"/>
      <c r="G513" s="289"/>
      <c r="H513" s="289"/>
      <c r="I513" s="290" t="s">
        <v>205</v>
      </c>
      <c r="J513" s="290"/>
      <c r="K513" s="290"/>
      <c r="L513" s="47">
        <v>33</v>
      </c>
      <c r="M513" s="262">
        <v>351</v>
      </c>
      <c r="N513" s="47">
        <v>100</v>
      </c>
      <c r="O513" s="291">
        <v>62.95</v>
      </c>
      <c r="P513" s="291"/>
      <c r="Q513" s="291"/>
      <c r="R513" s="262">
        <v>10.64</v>
      </c>
      <c r="S513" s="262">
        <v>73.59</v>
      </c>
      <c r="U513" s="149">
        <f t="shared" si="42"/>
        <v>52619</v>
      </c>
      <c r="V513" s="146">
        <f t="shared" si="43"/>
        <v>6.916666666666667</v>
      </c>
      <c r="W513" s="150">
        <f t="shared" si="44"/>
        <v>26.083333333333332</v>
      </c>
      <c r="X513" s="146">
        <f t="shared" si="46"/>
        <v>26.083333333333332</v>
      </c>
    </row>
    <row r="514" spans="1:24" ht="9.75" customHeight="1" x14ac:dyDescent="0.25">
      <c r="A514" s="288">
        <v>888</v>
      </c>
      <c r="B514" s="288"/>
      <c r="D514" s="258" t="s">
        <v>316</v>
      </c>
      <c r="E514" s="289">
        <v>40602</v>
      </c>
      <c r="F514" s="289"/>
      <c r="G514" s="289"/>
      <c r="H514" s="289"/>
      <c r="I514" s="290" t="s">
        <v>205</v>
      </c>
      <c r="J514" s="290"/>
      <c r="K514" s="290"/>
      <c r="L514" s="47">
        <v>33</v>
      </c>
      <c r="M514" s="262">
        <v>72</v>
      </c>
      <c r="N514" s="47">
        <v>100</v>
      </c>
      <c r="O514" s="291">
        <v>12.72</v>
      </c>
      <c r="P514" s="291"/>
      <c r="Q514" s="291"/>
      <c r="R514" s="262">
        <v>2.1800000000000002</v>
      </c>
      <c r="S514" s="262">
        <v>14.9</v>
      </c>
      <c r="U514" s="149">
        <f t="shared" si="42"/>
        <v>52647</v>
      </c>
      <c r="V514" s="146">
        <f t="shared" si="43"/>
        <v>6.8361111111111112</v>
      </c>
      <c r="W514" s="150">
        <f t="shared" si="44"/>
        <v>26.163888888888888</v>
      </c>
      <c r="X514" s="146">
        <f t="shared" si="46"/>
        <v>26.163888888888888</v>
      </c>
    </row>
    <row r="515" spans="1:24" ht="9.75" customHeight="1" x14ac:dyDescent="0.25">
      <c r="A515" s="288">
        <v>892</v>
      </c>
      <c r="B515" s="288"/>
      <c r="D515" s="258" t="s">
        <v>318</v>
      </c>
      <c r="E515" s="289">
        <v>40633</v>
      </c>
      <c r="F515" s="289"/>
      <c r="G515" s="289"/>
      <c r="H515" s="289"/>
      <c r="I515" s="290" t="s">
        <v>205</v>
      </c>
      <c r="J515" s="290"/>
      <c r="K515" s="290"/>
      <c r="L515" s="47">
        <v>33</v>
      </c>
      <c r="M515" s="262">
        <v>36</v>
      </c>
      <c r="N515" s="47">
        <v>100</v>
      </c>
      <c r="O515" s="291">
        <v>6.2700000000000005</v>
      </c>
      <c r="P515" s="291"/>
      <c r="Q515" s="291"/>
      <c r="R515" s="262">
        <v>1.0900000000000001</v>
      </c>
      <c r="S515" s="262">
        <v>7.36</v>
      </c>
      <c r="U515" s="149">
        <f t="shared" si="42"/>
        <v>52678</v>
      </c>
      <c r="V515" s="146">
        <f t="shared" si="43"/>
        <v>6.75</v>
      </c>
      <c r="W515" s="150">
        <f t="shared" si="44"/>
        <v>26.25</v>
      </c>
      <c r="X515" s="146">
        <f t="shared" si="46"/>
        <v>26.25</v>
      </c>
    </row>
    <row r="516" spans="1:24" ht="9.75" customHeight="1" x14ac:dyDescent="0.25">
      <c r="A516" s="288">
        <v>896</v>
      </c>
      <c r="B516" s="288"/>
      <c r="D516" s="258" t="s">
        <v>318</v>
      </c>
      <c r="E516" s="289">
        <v>40663</v>
      </c>
      <c r="F516" s="289"/>
      <c r="G516" s="289"/>
      <c r="H516" s="289"/>
      <c r="I516" s="290" t="s">
        <v>205</v>
      </c>
      <c r="J516" s="290"/>
      <c r="K516" s="290"/>
      <c r="L516" s="47">
        <v>33</v>
      </c>
      <c r="M516" s="262">
        <v>36</v>
      </c>
      <c r="N516" s="47">
        <v>100</v>
      </c>
      <c r="O516" s="291">
        <v>6.18</v>
      </c>
      <c r="P516" s="291"/>
      <c r="Q516" s="291"/>
      <c r="R516" s="262">
        <v>1.0900000000000001</v>
      </c>
      <c r="S516" s="262">
        <v>7.2700000000000005</v>
      </c>
      <c r="U516" s="149">
        <f t="shared" si="42"/>
        <v>52708</v>
      </c>
      <c r="V516" s="146">
        <f t="shared" si="43"/>
        <v>6.666666666666667</v>
      </c>
      <c r="W516" s="150">
        <f t="shared" si="44"/>
        <v>26.333333333333332</v>
      </c>
      <c r="X516" s="146">
        <f t="shared" si="46"/>
        <v>26.333333333333332</v>
      </c>
    </row>
    <row r="517" spans="1:24" ht="9.75" customHeight="1" x14ac:dyDescent="0.25">
      <c r="A517" s="288">
        <v>920</v>
      </c>
      <c r="B517" s="288"/>
      <c r="D517" s="258" t="s">
        <v>315</v>
      </c>
      <c r="E517" s="289">
        <v>40816</v>
      </c>
      <c r="F517" s="289"/>
      <c r="G517" s="289"/>
      <c r="H517" s="289"/>
      <c r="I517" s="290" t="s">
        <v>205</v>
      </c>
      <c r="J517" s="290"/>
      <c r="K517" s="290"/>
      <c r="L517" s="47">
        <v>33</v>
      </c>
      <c r="M517" s="262">
        <v>99</v>
      </c>
      <c r="N517" s="47">
        <v>100</v>
      </c>
      <c r="O517" s="291">
        <v>15.75</v>
      </c>
      <c r="P517" s="291"/>
      <c r="Q517" s="291"/>
      <c r="R517" s="262">
        <v>3</v>
      </c>
      <c r="S517" s="262">
        <v>18.75</v>
      </c>
      <c r="U517" s="149">
        <f t="shared" si="42"/>
        <v>52861</v>
      </c>
      <c r="V517" s="146">
        <f t="shared" si="43"/>
        <v>6.25</v>
      </c>
      <c r="W517" s="150">
        <f t="shared" si="44"/>
        <v>26.75</v>
      </c>
      <c r="X517" s="146">
        <f t="shared" si="46"/>
        <v>26.75</v>
      </c>
    </row>
    <row r="518" spans="1:24" ht="9.75" customHeight="1" x14ac:dyDescent="0.25">
      <c r="A518" s="288">
        <v>924</v>
      </c>
      <c r="B518" s="288"/>
      <c r="D518" s="258" t="s">
        <v>316</v>
      </c>
      <c r="E518" s="289">
        <v>40847</v>
      </c>
      <c r="F518" s="289"/>
      <c r="G518" s="289"/>
      <c r="H518" s="289"/>
      <c r="I518" s="290" t="s">
        <v>205</v>
      </c>
      <c r="J518" s="290"/>
      <c r="K518" s="290"/>
      <c r="L518" s="47">
        <v>33</v>
      </c>
      <c r="M518" s="262">
        <v>36</v>
      </c>
      <c r="N518" s="47">
        <v>100</v>
      </c>
      <c r="O518" s="291">
        <v>5.63</v>
      </c>
      <c r="P518" s="291"/>
      <c r="Q518" s="291"/>
      <c r="R518" s="262">
        <v>1.0900000000000001</v>
      </c>
      <c r="S518" s="262">
        <v>6.72</v>
      </c>
      <c r="U518" s="149">
        <f t="shared" si="42"/>
        <v>52892</v>
      </c>
      <c r="V518" s="146">
        <f t="shared" si="43"/>
        <v>6.166666666666667</v>
      </c>
      <c r="W518" s="150">
        <f t="shared" si="44"/>
        <v>26.833333333333332</v>
      </c>
      <c r="X518" s="146">
        <f t="shared" si="46"/>
        <v>26.833333333333332</v>
      </c>
    </row>
    <row r="519" spans="1:24" ht="9.75" customHeight="1" x14ac:dyDescent="0.25">
      <c r="A519" s="288">
        <v>928</v>
      </c>
      <c r="B519" s="288"/>
      <c r="D519" s="258" t="s">
        <v>316</v>
      </c>
      <c r="E519" s="289">
        <v>40877</v>
      </c>
      <c r="F519" s="289"/>
      <c r="G519" s="289"/>
      <c r="H519" s="289"/>
      <c r="I519" s="290" t="s">
        <v>205</v>
      </c>
      <c r="J519" s="290"/>
      <c r="K519" s="290"/>
      <c r="L519" s="47">
        <v>33</v>
      </c>
      <c r="M519" s="262">
        <v>108</v>
      </c>
      <c r="N519" s="47">
        <v>100</v>
      </c>
      <c r="O519" s="291">
        <v>16.62</v>
      </c>
      <c r="P519" s="291"/>
      <c r="Q519" s="291"/>
      <c r="R519" s="262">
        <v>3.27</v>
      </c>
      <c r="S519" s="262">
        <v>19.89</v>
      </c>
      <c r="U519" s="149">
        <f t="shared" si="42"/>
        <v>52922</v>
      </c>
      <c r="V519" s="146">
        <f t="shared" si="43"/>
        <v>6.083333333333333</v>
      </c>
      <c r="W519" s="150">
        <f t="shared" si="44"/>
        <v>26.916666666666668</v>
      </c>
      <c r="X519" s="146">
        <f t="shared" si="46"/>
        <v>26.916666666666668</v>
      </c>
    </row>
    <row r="520" spans="1:24" ht="9.75" customHeight="1" x14ac:dyDescent="0.25">
      <c r="A520" s="288">
        <v>933</v>
      </c>
      <c r="B520" s="288"/>
      <c r="D520" s="258" t="s">
        <v>316</v>
      </c>
      <c r="E520" s="289">
        <v>40908</v>
      </c>
      <c r="F520" s="289"/>
      <c r="G520" s="289"/>
      <c r="H520" s="289"/>
      <c r="I520" s="290" t="s">
        <v>205</v>
      </c>
      <c r="J520" s="290"/>
      <c r="K520" s="290"/>
      <c r="L520" s="47">
        <v>33</v>
      </c>
      <c r="M520" s="262">
        <v>72</v>
      </c>
      <c r="N520" s="47">
        <v>100</v>
      </c>
      <c r="O520" s="291">
        <v>10.9</v>
      </c>
      <c r="P520" s="291"/>
      <c r="Q520" s="291"/>
      <c r="R520" s="262">
        <v>2.1800000000000002</v>
      </c>
      <c r="S520" s="262">
        <v>13.08</v>
      </c>
      <c r="U520" s="149">
        <f t="shared" si="42"/>
        <v>52953</v>
      </c>
      <c r="V520" s="146">
        <f t="shared" si="43"/>
        <v>6</v>
      </c>
      <c r="W520" s="150">
        <f t="shared" si="44"/>
        <v>27</v>
      </c>
      <c r="X520" s="146">
        <f t="shared" si="46"/>
        <v>27</v>
      </c>
    </row>
    <row r="521" spans="1:24" ht="9.75" customHeight="1" x14ac:dyDescent="0.25">
      <c r="A521" s="288">
        <v>940</v>
      </c>
      <c r="B521" s="288"/>
      <c r="D521" s="258" t="s">
        <v>316</v>
      </c>
      <c r="E521" s="289">
        <v>40968</v>
      </c>
      <c r="F521" s="289"/>
      <c r="G521" s="289"/>
      <c r="H521" s="289"/>
      <c r="I521" s="290" t="s">
        <v>205</v>
      </c>
      <c r="J521" s="290"/>
      <c r="K521" s="290"/>
      <c r="L521" s="47">
        <v>33</v>
      </c>
      <c r="M521" s="262">
        <v>36</v>
      </c>
      <c r="N521" s="47">
        <v>100</v>
      </c>
      <c r="O521" s="291">
        <v>5.2700000000000005</v>
      </c>
      <c r="P521" s="291"/>
      <c r="Q521" s="291"/>
      <c r="R521" s="262">
        <v>1.0900000000000001</v>
      </c>
      <c r="S521" s="262">
        <v>6.36</v>
      </c>
      <c r="U521" s="149">
        <f t="shared" si="42"/>
        <v>53013</v>
      </c>
      <c r="V521" s="146">
        <f t="shared" si="43"/>
        <v>5.8361111111111112</v>
      </c>
      <c r="W521" s="150">
        <f t="shared" si="44"/>
        <v>27.163888888888888</v>
      </c>
      <c r="X521" s="146">
        <f t="shared" si="46"/>
        <v>27.163888888888888</v>
      </c>
    </row>
    <row r="522" spans="1:24" ht="9.75" customHeight="1" x14ac:dyDescent="0.25">
      <c r="A522" s="288">
        <v>956</v>
      </c>
      <c r="B522" s="288"/>
      <c r="D522" s="258" t="s">
        <v>316</v>
      </c>
      <c r="E522" s="289">
        <v>41090</v>
      </c>
      <c r="F522" s="289"/>
      <c r="G522" s="289"/>
      <c r="H522" s="289"/>
      <c r="I522" s="290" t="s">
        <v>205</v>
      </c>
      <c r="J522" s="290"/>
      <c r="K522" s="290"/>
      <c r="L522" s="47">
        <v>33</v>
      </c>
      <c r="M522" s="262">
        <v>72</v>
      </c>
      <c r="N522" s="47">
        <v>100</v>
      </c>
      <c r="O522" s="291">
        <v>9.81</v>
      </c>
      <c r="P522" s="291"/>
      <c r="Q522" s="291"/>
      <c r="R522" s="262">
        <v>2.1800000000000002</v>
      </c>
      <c r="S522" s="262">
        <v>11.99</v>
      </c>
      <c r="U522" s="149">
        <f t="shared" si="42"/>
        <v>53135</v>
      </c>
      <c r="V522" s="146">
        <f t="shared" si="43"/>
        <v>5.5</v>
      </c>
      <c r="W522" s="150">
        <f t="shared" si="44"/>
        <v>27.5</v>
      </c>
      <c r="X522" s="146">
        <f t="shared" si="46"/>
        <v>27.5</v>
      </c>
    </row>
    <row r="523" spans="1:24" ht="9.75" customHeight="1" x14ac:dyDescent="0.25">
      <c r="A523" s="288">
        <v>961</v>
      </c>
      <c r="B523" s="288"/>
      <c r="D523" s="258" t="s">
        <v>315</v>
      </c>
      <c r="E523" s="289">
        <v>41121</v>
      </c>
      <c r="F523" s="289"/>
      <c r="G523" s="289"/>
      <c r="H523" s="289"/>
      <c r="I523" s="290" t="s">
        <v>205</v>
      </c>
      <c r="J523" s="290"/>
      <c r="K523" s="290"/>
      <c r="L523" s="47">
        <v>33</v>
      </c>
      <c r="M523" s="262">
        <v>18</v>
      </c>
      <c r="N523" s="47">
        <v>100</v>
      </c>
      <c r="O523" s="291">
        <v>2.4300000000000002</v>
      </c>
      <c r="P523" s="291"/>
      <c r="Q523" s="291"/>
      <c r="R523" s="262">
        <v>0.55000000000000004</v>
      </c>
      <c r="S523" s="262">
        <v>2.98</v>
      </c>
      <c r="U523" s="149">
        <f t="shared" ref="U523:U532" si="47">E523+(L523*365)</f>
        <v>53166</v>
      </c>
      <c r="V523" s="146">
        <f t="shared" ref="V523:V532" si="48">YEARFRAC(E523,$V$14)</f>
        <v>5.416666666666667</v>
      </c>
      <c r="W523" s="150">
        <f t="shared" ref="W523:W532" si="49">IF(V523&gt;L523,0,L523-V523)</f>
        <v>27.583333333333332</v>
      </c>
      <c r="X523" s="146">
        <f t="shared" si="46"/>
        <v>27.583333333333332</v>
      </c>
    </row>
    <row r="524" spans="1:24" ht="9.75" customHeight="1" x14ac:dyDescent="0.25">
      <c r="A524" s="288">
        <v>995</v>
      </c>
      <c r="B524" s="288"/>
      <c r="D524" s="258" t="s">
        <v>169</v>
      </c>
      <c r="E524" s="289">
        <v>41394</v>
      </c>
      <c r="F524" s="289"/>
      <c r="G524" s="289"/>
      <c r="H524" s="289"/>
      <c r="I524" s="290" t="s">
        <v>205</v>
      </c>
      <c r="J524" s="290"/>
      <c r="K524" s="290"/>
      <c r="L524" s="47">
        <v>33</v>
      </c>
      <c r="M524" s="262">
        <v>783</v>
      </c>
      <c r="N524" s="47">
        <v>100</v>
      </c>
      <c r="O524" s="291">
        <v>87.01</v>
      </c>
      <c r="P524" s="291"/>
      <c r="Q524" s="291"/>
      <c r="R524" s="262">
        <v>23.73</v>
      </c>
      <c r="S524" s="262">
        <v>110.74000000000001</v>
      </c>
      <c r="U524" s="149">
        <f t="shared" si="47"/>
        <v>53439</v>
      </c>
      <c r="V524" s="146">
        <f t="shared" si="48"/>
        <v>4.666666666666667</v>
      </c>
      <c r="W524" s="150">
        <f t="shared" si="49"/>
        <v>28.333333333333332</v>
      </c>
      <c r="X524" s="146">
        <f t="shared" si="46"/>
        <v>28.333333333333332</v>
      </c>
    </row>
    <row r="525" spans="1:24" ht="9.75" customHeight="1" x14ac:dyDescent="0.25">
      <c r="A525" s="288">
        <v>999</v>
      </c>
      <c r="B525" s="288"/>
      <c r="D525" s="258" t="s">
        <v>319</v>
      </c>
      <c r="E525" s="289">
        <v>41425</v>
      </c>
      <c r="F525" s="289"/>
      <c r="G525" s="289"/>
      <c r="H525" s="289"/>
      <c r="I525" s="290" t="s">
        <v>205</v>
      </c>
      <c r="J525" s="290"/>
      <c r="K525" s="290"/>
      <c r="L525" s="47">
        <v>33</v>
      </c>
      <c r="M525" s="262">
        <v>36</v>
      </c>
      <c r="N525" s="47">
        <v>100</v>
      </c>
      <c r="O525" s="291">
        <v>3.91</v>
      </c>
      <c r="P525" s="291"/>
      <c r="Q525" s="291"/>
      <c r="R525" s="262">
        <v>1.0900000000000001</v>
      </c>
      <c r="S525" s="262">
        <v>5</v>
      </c>
      <c r="U525" s="149">
        <f t="shared" si="47"/>
        <v>53470</v>
      </c>
      <c r="V525" s="146">
        <f t="shared" si="48"/>
        <v>4.583333333333333</v>
      </c>
      <c r="W525" s="150">
        <f t="shared" si="49"/>
        <v>28.416666666666668</v>
      </c>
      <c r="X525" s="146">
        <f t="shared" si="46"/>
        <v>28.416666666666668</v>
      </c>
    </row>
    <row r="526" spans="1:24" ht="9.75" customHeight="1" x14ac:dyDescent="0.25">
      <c r="A526" s="288">
        <v>1008</v>
      </c>
      <c r="B526" s="288"/>
      <c r="D526" s="258" t="s">
        <v>169</v>
      </c>
      <c r="E526" s="289">
        <v>41517</v>
      </c>
      <c r="F526" s="289"/>
      <c r="G526" s="289"/>
      <c r="H526" s="289"/>
      <c r="I526" s="290" t="s">
        <v>205</v>
      </c>
      <c r="J526" s="290"/>
      <c r="K526" s="290"/>
      <c r="L526" s="47">
        <v>33</v>
      </c>
      <c r="M526" s="262">
        <v>108</v>
      </c>
      <c r="N526" s="47">
        <v>100</v>
      </c>
      <c r="O526" s="291">
        <v>10.9</v>
      </c>
      <c r="P526" s="291"/>
      <c r="Q526" s="291"/>
      <c r="R526" s="262">
        <v>3.27</v>
      </c>
      <c r="S526" s="262">
        <v>14.17</v>
      </c>
      <c r="U526" s="149">
        <f t="shared" si="47"/>
        <v>53562</v>
      </c>
      <c r="V526" s="146">
        <f t="shared" si="48"/>
        <v>4.333333333333333</v>
      </c>
      <c r="W526" s="150">
        <f t="shared" si="49"/>
        <v>28.666666666666668</v>
      </c>
      <c r="X526" s="146">
        <f t="shared" si="46"/>
        <v>28.666666666666668</v>
      </c>
    </row>
    <row r="527" spans="1:24" ht="9.75" customHeight="1" x14ac:dyDescent="0.25">
      <c r="A527" s="288">
        <v>1012</v>
      </c>
      <c r="B527" s="288"/>
      <c r="D527" s="258" t="s">
        <v>169</v>
      </c>
      <c r="E527" s="289">
        <v>41547</v>
      </c>
      <c r="F527" s="289"/>
      <c r="G527" s="289"/>
      <c r="H527" s="289"/>
      <c r="I527" s="290" t="s">
        <v>205</v>
      </c>
      <c r="J527" s="290"/>
      <c r="K527" s="290"/>
      <c r="L527" s="47">
        <v>33</v>
      </c>
      <c r="M527" s="262">
        <v>108</v>
      </c>
      <c r="N527" s="47">
        <v>100</v>
      </c>
      <c r="O527" s="291">
        <v>10.63</v>
      </c>
      <c r="P527" s="291"/>
      <c r="Q527" s="291"/>
      <c r="R527" s="262">
        <v>3.27</v>
      </c>
      <c r="S527" s="262">
        <v>13.9</v>
      </c>
      <c r="U527" s="149">
        <f t="shared" si="47"/>
        <v>53592</v>
      </c>
      <c r="V527" s="146">
        <f t="shared" si="48"/>
        <v>4.25</v>
      </c>
      <c r="W527" s="150">
        <f t="shared" si="49"/>
        <v>28.75</v>
      </c>
      <c r="X527" s="146">
        <f t="shared" si="46"/>
        <v>28.75</v>
      </c>
    </row>
    <row r="528" spans="1:24" ht="9.75" customHeight="1" x14ac:dyDescent="0.25">
      <c r="A528" s="288">
        <v>1017</v>
      </c>
      <c r="B528" s="288"/>
      <c r="D528" s="258" t="s">
        <v>169</v>
      </c>
      <c r="E528" s="289">
        <v>41578</v>
      </c>
      <c r="F528" s="289"/>
      <c r="G528" s="289"/>
      <c r="H528" s="289"/>
      <c r="I528" s="290" t="s">
        <v>205</v>
      </c>
      <c r="J528" s="290"/>
      <c r="K528" s="290"/>
      <c r="L528" s="47">
        <v>33</v>
      </c>
      <c r="M528" s="262">
        <v>297</v>
      </c>
      <c r="N528" s="47">
        <v>100</v>
      </c>
      <c r="O528" s="291">
        <v>28.5</v>
      </c>
      <c r="P528" s="291"/>
      <c r="Q528" s="291"/>
      <c r="R528" s="262">
        <v>9</v>
      </c>
      <c r="S528" s="262">
        <v>37.5</v>
      </c>
      <c r="U528" s="149">
        <f t="shared" si="47"/>
        <v>53623</v>
      </c>
      <c r="V528" s="146">
        <f t="shared" si="48"/>
        <v>4.166666666666667</v>
      </c>
      <c r="W528" s="150">
        <f t="shared" si="49"/>
        <v>28.833333333333332</v>
      </c>
      <c r="X528" s="146">
        <f t="shared" si="46"/>
        <v>28.833333333333332</v>
      </c>
    </row>
    <row r="529" spans="1:24" ht="9.75" customHeight="1" x14ac:dyDescent="0.25">
      <c r="A529" s="288">
        <v>1021</v>
      </c>
      <c r="B529" s="288"/>
      <c r="D529" s="258" t="s">
        <v>169</v>
      </c>
      <c r="E529" s="289">
        <v>41608</v>
      </c>
      <c r="F529" s="289"/>
      <c r="G529" s="289"/>
      <c r="H529" s="289"/>
      <c r="I529" s="290" t="s">
        <v>205</v>
      </c>
      <c r="J529" s="290"/>
      <c r="K529" s="290"/>
      <c r="L529" s="47">
        <v>33</v>
      </c>
      <c r="M529" s="262">
        <v>162</v>
      </c>
      <c r="N529" s="47">
        <v>100</v>
      </c>
      <c r="O529" s="291">
        <v>15.14</v>
      </c>
      <c r="P529" s="291"/>
      <c r="Q529" s="291"/>
      <c r="R529" s="262">
        <v>4.91</v>
      </c>
      <c r="S529" s="262">
        <v>20.05</v>
      </c>
      <c r="U529" s="149">
        <f t="shared" si="47"/>
        <v>53653</v>
      </c>
      <c r="V529" s="146">
        <f t="shared" si="48"/>
        <v>4.083333333333333</v>
      </c>
      <c r="W529" s="150">
        <f t="shared" si="49"/>
        <v>28.916666666666668</v>
      </c>
      <c r="X529" s="146">
        <f t="shared" si="46"/>
        <v>28.916666666666668</v>
      </c>
    </row>
    <row r="530" spans="1:24" ht="9.75" customHeight="1" x14ac:dyDescent="0.25">
      <c r="A530" s="288">
        <v>1025</v>
      </c>
      <c r="B530" s="288"/>
      <c r="D530" s="258" t="s">
        <v>315</v>
      </c>
      <c r="E530" s="289">
        <v>41639</v>
      </c>
      <c r="F530" s="289"/>
      <c r="G530" s="289"/>
      <c r="H530" s="289"/>
      <c r="I530" s="290" t="s">
        <v>205</v>
      </c>
      <c r="J530" s="290"/>
      <c r="K530" s="290"/>
      <c r="L530" s="47">
        <v>33</v>
      </c>
      <c r="M530" s="262">
        <v>162</v>
      </c>
      <c r="N530" s="47">
        <v>100</v>
      </c>
      <c r="O530" s="291">
        <v>14.73</v>
      </c>
      <c r="P530" s="291"/>
      <c r="Q530" s="291"/>
      <c r="R530" s="262">
        <v>4.91</v>
      </c>
      <c r="S530" s="262">
        <v>19.64</v>
      </c>
      <c r="U530" s="149">
        <f t="shared" si="47"/>
        <v>53684</v>
      </c>
      <c r="V530" s="146">
        <f t="shared" si="48"/>
        <v>4</v>
      </c>
      <c r="W530" s="150">
        <f t="shared" si="49"/>
        <v>29</v>
      </c>
      <c r="X530" s="146">
        <f t="shared" si="46"/>
        <v>29</v>
      </c>
    </row>
    <row r="531" spans="1:24" ht="9.75" customHeight="1" x14ac:dyDescent="0.25">
      <c r="A531" s="288">
        <v>1026</v>
      </c>
      <c r="B531" s="288"/>
      <c r="D531" s="258" t="s">
        <v>320</v>
      </c>
      <c r="E531" s="289">
        <v>41305</v>
      </c>
      <c r="F531" s="289"/>
      <c r="G531" s="289"/>
      <c r="H531" s="289"/>
      <c r="I531" s="290" t="s">
        <v>205</v>
      </c>
      <c r="J531" s="290"/>
      <c r="K531" s="290"/>
      <c r="L531" s="47">
        <v>33</v>
      </c>
      <c r="M531" s="262">
        <v>72</v>
      </c>
      <c r="N531" s="47">
        <v>100</v>
      </c>
      <c r="O531" s="291">
        <v>8.5399999999999991</v>
      </c>
      <c r="P531" s="291"/>
      <c r="Q531" s="291"/>
      <c r="R531" s="262">
        <v>2.1800000000000002</v>
      </c>
      <c r="S531" s="262">
        <v>10.72</v>
      </c>
      <c r="U531" s="149">
        <f t="shared" si="47"/>
        <v>53350</v>
      </c>
      <c r="V531" s="146">
        <f t="shared" si="48"/>
        <v>4.916666666666667</v>
      </c>
      <c r="W531" s="150">
        <f t="shared" si="49"/>
        <v>28.083333333333332</v>
      </c>
      <c r="X531" s="146">
        <f t="shared" si="46"/>
        <v>28.083333333333332</v>
      </c>
    </row>
    <row r="532" spans="1:24" ht="9.75" customHeight="1" x14ac:dyDescent="0.25">
      <c r="A532" s="288">
        <v>1027</v>
      </c>
      <c r="B532" s="288"/>
      <c r="D532" s="258" t="s">
        <v>320</v>
      </c>
      <c r="E532" s="289">
        <v>41333</v>
      </c>
      <c r="F532" s="289"/>
      <c r="G532" s="289"/>
      <c r="H532" s="289"/>
      <c r="I532" s="290" t="s">
        <v>205</v>
      </c>
      <c r="J532" s="290"/>
      <c r="K532" s="290"/>
      <c r="L532" s="47">
        <v>33</v>
      </c>
      <c r="M532" s="262">
        <v>108</v>
      </c>
      <c r="N532" s="47">
        <v>100</v>
      </c>
      <c r="O532" s="291">
        <v>12.530000000000001</v>
      </c>
      <c r="P532" s="291"/>
      <c r="Q532" s="291"/>
      <c r="R532" s="262">
        <v>3.27</v>
      </c>
      <c r="S532" s="262">
        <v>15.8</v>
      </c>
      <c r="U532" s="149">
        <f t="shared" si="47"/>
        <v>53378</v>
      </c>
      <c r="V532" s="146">
        <f t="shared" si="48"/>
        <v>4.8361111111111112</v>
      </c>
      <c r="W532" s="150">
        <f t="shared" si="49"/>
        <v>28.163888888888888</v>
      </c>
      <c r="X532" s="146">
        <f t="shared" si="46"/>
        <v>28.163888888888888</v>
      </c>
    </row>
    <row r="533" spans="1:24" ht="2.25" customHeight="1" x14ac:dyDescent="0.25">
      <c r="X533" s="146"/>
    </row>
    <row r="534" spans="1:24" ht="12" customHeight="1" x14ac:dyDescent="0.25">
      <c r="A534" s="283" t="s">
        <v>321</v>
      </c>
      <c r="B534" s="283"/>
      <c r="C534" s="283"/>
      <c r="D534" s="283"/>
      <c r="E534" s="283"/>
      <c r="F534" s="283"/>
      <c r="G534" s="283"/>
      <c r="M534" s="260">
        <v>72403.11</v>
      </c>
      <c r="O534" s="284">
        <v>22273.69</v>
      </c>
      <c r="P534" s="284"/>
      <c r="Q534" s="284"/>
      <c r="R534" s="260">
        <v>2185.5500000000002</v>
      </c>
      <c r="S534" s="260">
        <v>24459.24</v>
      </c>
      <c r="U534" s="281" t="s">
        <v>208</v>
      </c>
      <c r="V534" s="282"/>
      <c r="W534" s="147">
        <f>AVERAGE(W459:W532)</f>
        <v>22.350638138138134</v>
      </c>
      <c r="X534" s="147">
        <f>AVERAGE(X459:X532)</f>
        <v>22.350638138138134</v>
      </c>
    </row>
    <row r="535" spans="1:24" ht="3" customHeight="1" x14ac:dyDescent="0.25">
      <c r="X535" s="146"/>
    </row>
    <row r="536" spans="1:24" ht="14.25" customHeight="1" x14ac:dyDescent="0.25">
      <c r="B536" s="283" t="s">
        <v>209</v>
      </c>
      <c r="C536" s="283"/>
      <c r="D536" s="283"/>
      <c r="E536" s="283"/>
      <c r="F536" s="283"/>
      <c r="G536" s="283"/>
      <c r="H536" s="283"/>
      <c r="M536" s="261">
        <v>0</v>
      </c>
      <c r="O536" s="285">
        <v>0</v>
      </c>
      <c r="P536" s="285"/>
      <c r="Q536" s="285"/>
      <c r="R536" s="261">
        <v>0</v>
      </c>
      <c r="S536" s="261">
        <v>0</v>
      </c>
      <c r="X536" s="146"/>
    </row>
    <row r="537" spans="1:24" ht="9.75" customHeight="1" thickBot="1" x14ac:dyDescent="0.3">
      <c r="A537" s="283" t="s">
        <v>322</v>
      </c>
      <c r="B537" s="283"/>
      <c r="C537" s="283"/>
      <c r="D537" s="283"/>
      <c r="E537" s="283"/>
      <c r="F537" s="283"/>
      <c r="G537" s="283"/>
      <c r="M537" s="286">
        <v>72403.11</v>
      </c>
      <c r="O537" s="286">
        <v>22273.69</v>
      </c>
      <c r="P537" s="286"/>
      <c r="Q537" s="286"/>
      <c r="R537" s="286">
        <v>2185.5500000000002</v>
      </c>
      <c r="S537" s="286">
        <v>24459.24</v>
      </c>
      <c r="X537" s="146"/>
    </row>
    <row r="538" spans="1:24" ht="6" customHeight="1" thickTop="1" thickBot="1" x14ac:dyDescent="0.3">
      <c r="M538" s="286"/>
      <c r="O538" s="286"/>
      <c r="P538" s="286"/>
      <c r="Q538" s="286"/>
      <c r="R538" s="286"/>
      <c r="S538" s="286"/>
      <c r="X538" s="146"/>
    </row>
    <row r="539" spans="1:24" ht="2.25" customHeight="1" thickTop="1" x14ac:dyDescent="0.25">
      <c r="X539" s="146"/>
    </row>
    <row r="540" spans="1:24" ht="14.25" customHeight="1" x14ac:dyDescent="0.25">
      <c r="A540" s="283" t="s">
        <v>70</v>
      </c>
      <c r="B540" s="283"/>
      <c r="C540" s="283"/>
      <c r="D540" s="283"/>
      <c r="E540" s="283"/>
      <c r="F540" s="283"/>
      <c r="G540" s="283"/>
      <c r="H540" s="283"/>
      <c r="I540" s="283"/>
      <c r="J540" s="283"/>
      <c r="K540" s="283"/>
      <c r="L540" s="283"/>
      <c r="M540" s="283"/>
      <c r="N540" s="283"/>
      <c r="O540" s="283"/>
      <c r="P540" s="283"/>
      <c r="Q540" s="283"/>
      <c r="R540" s="283"/>
      <c r="S540" s="283"/>
      <c r="T540" s="283"/>
      <c r="U540" s="140" t="s">
        <v>201</v>
      </c>
      <c r="V540" s="141">
        <v>43100</v>
      </c>
      <c r="W540" s="140" t="s">
        <v>202</v>
      </c>
      <c r="X540" s="148" t="s">
        <v>203</v>
      </c>
    </row>
    <row r="541" spans="1:24" ht="2.25" customHeight="1" x14ac:dyDescent="0.25">
      <c r="W541" s="142"/>
      <c r="X541" s="146"/>
    </row>
    <row r="542" spans="1:24" ht="0.75" customHeight="1" x14ac:dyDescent="0.25">
      <c r="X542" s="146"/>
    </row>
    <row r="543" spans="1:24" ht="9.75" customHeight="1" x14ac:dyDescent="0.25">
      <c r="A543" s="288">
        <v>25</v>
      </c>
      <c r="B543" s="288"/>
      <c r="D543" s="258" t="s">
        <v>70</v>
      </c>
      <c r="E543" s="289">
        <v>39454</v>
      </c>
      <c r="F543" s="289"/>
      <c r="G543" s="289"/>
      <c r="H543" s="289"/>
      <c r="I543" s="290" t="s">
        <v>205</v>
      </c>
      <c r="J543" s="290"/>
      <c r="K543" s="290"/>
      <c r="L543" s="47">
        <v>33</v>
      </c>
      <c r="M543" s="262">
        <v>6480.84</v>
      </c>
      <c r="N543" s="47">
        <v>100</v>
      </c>
      <c r="O543" s="291">
        <v>1767.51</v>
      </c>
      <c r="P543" s="291"/>
      <c r="Q543" s="291"/>
      <c r="R543" s="262">
        <v>196.39000000000001</v>
      </c>
      <c r="S543" s="262">
        <v>1963.9</v>
      </c>
      <c r="U543" s="149">
        <f t="shared" ref="U543:U574" si="50">E543+(L543*365)</f>
        <v>51499</v>
      </c>
      <c r="V543" s="146">
        <f t="shared" ref="V543:V574" si="51">YEARFRAC(E543,$V$14)</f>
        <v>9.9833333333333325</v>
      </c>
      <c r="W543" s="150">
        <f t="shared" ref="W543:W574" si="52">IF(V543&gt;L543,0,L543-V543)</f>
        <v>23.016666666666666</v>
      </c>
      <c r="X543" s="146">
        <f t="shared" ref="X543:X574" si="53">IF(W543=0,0,W543)</f>
        <v>23.016666666666666</v>
      </c>
    </row>
    <row r="544" spans="1:24" ht="9.75" customHeight="1" x14ac:dyDescent="0.25">
      <c r="A544" s="288">
        <v>49</v>
      </c>
      <c r="B544" s="288"/>
      <c r="D544" s="258" t="s">
        <v>70</v>
      </c>
      <c r="E544" s="289">
        <v>39489</v>
      </c>
      <c r="F544" s="289"/>
      <c r="G544" s="289"/>
      <c r="H544" s="289"/>
      <c r="I544" s="290" t="s">
        <v>205</v>
      </c>
      <c r="J544" s="290"/>
      <c r="K544" s="290"/>
      <c r="L544" s="47">
        <v>33</v>
      </c>
      <c r="M544" s="262">
        <v>9472.16</v>
      </c>
      <c r="N544" s="47">
        <v>100</v>
      </c>
      <c r="O544" s="291">
        <v>2559.44</v>
      </c>
      <c r="P544" s="291"/>
      <c r="Q544" s="291"/>
      <c r="R544" s="262">
        <v>287.04000000000002</v>
      </c>
      <c r="S544" s="262">
        <v>2846.48</v>
      </c>
      <c r="U544" s="149">
        <f t="shared" si="50"/>
        <v>51534</v>
      </c>
      <c r="V544" s="146">
        <f t="shared" si="51"/>
        <v>9.8888888888888893</v>
      </c>
      <c r="W544" s="150">
        <f t="shared" si="52"/>
        <v>23.111111111111111</v>
      </c>
      <c r="X544" s="146">
        <f t="shared" si="53"/>
        <v>23.111111111111111</v>
      </c>
    </row>
    <row r="545" spans="1:24" ht="9.75" customHeight="1" x14ac:dyDescent="0.25">
      <c r="A545" s="288">
        <v>54</v>
      </c>
      <c r="B545" s="288"/>
      <c r="D545" s="258" t="s">
        <v>70</v>
      </c>
      <c r="E545" s="289">
        <v>39533</v>
      </c>
      <c r="F545" s="289"/>
      <c r="G545" s="289"/>
      <c r="H545" s="289"/>
      <c r="I545" s="290" t="s">
        <v>205</v>
      </c>
      <c r="J545" s="290"/>
      <c r="K545" s="290"/>
      <c r="L545" s="47">
        <v>33</v>
      </c>
      <c r="M545" s="262">
        <v>13737.6</v>
      </c>
      <c r="N545" s="47">
        <v>100</v>
      </c>
      <c r="O545" s="291">
        <v>3642.54</v>
      </c>
      <c r="P545" s="291"/>
      <c r="Q545" s="291"/>
      <c r="R545" s="262">
        <v>416.29</v>
      </c>
      <c r="S545" s="262">
        <v>4058.83</v>
      </c>
      <c r="U545" s="149">
        <f t="shared" si="50"/>
        <v>51578</v>
      </c>
      <c r="V545" s="146">
        <f t="shared" si="51"/>
        <v>9.7638888888888893</v>
      </c>
      <c r="W545" s="150">
        <f t="shared" si="52"/>
        <v>23.236111111111111</v>
      </c>
      <c r="X545" s="146">
        <f t="shared" si="53"/>
        <v>23.236111111111111</v>
      </c>
    </row>
    <row r="546" spans="1:24" ht="9.75" customHeight="1" x14ac:dyDescent="0.25">
      <c r="A546" s="288">
        <v>99</v>
      </c>
      <c r="B546" s="288"/>
      <c r="D546" s="258" t="s">
        <v>70</v>
      </c>
      <c r="E546" s="289">
        <v>32508</v>
      </c>
      <c r="F546" s="289"/>
      <c r="G546" s="289"/>
      <c r="H546" s="289"/>
      <c r="I546" s="290" t="s">
        <v>205</v>
      </c>
      <c r="J546" s="290"/>
      <c r="K546" s="290"/>
      <c r="L546" s="47">
        <v>33</v>
      </c>
      <c r="M546" s="262">
        <v>12607</v>
      </c>
      <c r="N546" s="47">
        <v>100</v>
      </c>
      <c r="O546" s="291">
        <v>10728.68</v>
      </c>
      <c r="P546" s="291"/>
      <c r="Q546" s="291"/>
      <c r="R546" s="262">
        <v>382.03000000000003</v>
      </c>
      <c r="S546" s="262">
        <v>11110.710000000001</v>
      </c>
      <c r="U546" s="149">
        <f t="shared" si="50"/>
        <v>44553</v>
      </c>
      <c r="V546" s="146">
        <f t="shared" si="51"/>
        <v>29</v>
      </c>
      <c r="W546" s="150">
        <f t="shared" si="52"/>
        <v>4</v>
      </c>
      <c r="X546" s="146">
        <f t="shared" si="53"/>
        <v>4</v>
      </c>
    </row>
    <row r="547" spans="1:24" ht="9.75" customHeight="1" x14ac:dyDescent="0.25">
      <c r="A547" s="288">
        <v>134</v>
      </c>
      <c r="B547" s="288"/>
      <c r="D547" s="258" t="s">
        <v>70</v>
      </c>
      <c r="E547" s="289">
        <v>33603</v>
      </c>
      <c r="F547" s="289"/>
      <c r="G547" s="289"/>
      <c r="H547" s="289"/>
      <c r="I547" s="290" t="s">
        <v>205</v>
      </c>
      <c r="J547" s="290"/>
      <c r="K547" s="290"/>
      <c r="L547" s="47">
        <v>33</v>
      </c>
      <c r="M547" s="262">
        <v>615</v>
      </c>
      <c r="N547" s="47">
        <v>100</v>
      </c>
      <c r="O547" s="291">
        <v>467.55</v>
      </c>
      <c r="P547" s="291"/>
      <c r="Q547" s="291"/>
      <c r="R547" s="262">
        <v>18.64</v>
      </c>
      <c r="S547" s="262">
        <v>486.19</v>
      </c>
      <c r="U547" s="149">
        <f t="shared" si="50"/>
        <v>45648</v>
      </c>
      <c r="V547" s="146">
        <f t="shared" si="51"/>
        <v>26</v>
      </c>
      <c r="W547" s="150">
        <f t="shared" si="52"/>
        <v>7</v>
      </c>
      <c r="X547" s="146">
        <f t="shared" si="53"/>
        <v>7</v>
      </c>
    </row>
    <row r="548" spans="1:24" ht="9.75" customHeight="1" x14ac:dyDescent="0.25">
      <c r="A548" s="288">
        <v>164</v>
      </c>
      <c r="B548" s="288"/>
      <c r="D548" s="258" t="s">
        <v>323</v>
      </c>
      <c r="E548" s="289">
        <v>34029</v>
      </c>
      <c r="F548" s="289"/>
      <c r="G548" s="289"/>
      <c r="H548" s="289"/>
      <c r="I548" s="290" t="s">
        <v>205</v>
      </c>
      <c r="J548" s="290"/>
      <c r="K548" s="290"/>
      <c r="L548" s="47">
        <v>33</v>
      </c>
      <c r="M548" s="262">
        <v>515</v>
      </c>
      <c r="N548" s="47">
        <v>100</v>
      </c>
      <c r="O548" s="291">
        <v>372.04</v>
      </c>
      <c r="P548" s="291"/>
      <c r="Q548" s="291"/>
      <c r="R548" s="262">
        <v>15.610000000000001</v>
      </c>
      <c r="S548" s="262">
        <v>387.65000000000003</v>
      </c>
      <c r="U548" s="149">
        <f t="shared" si="50"/>
        <v>46074</v>
      </c>
      <c r="V548" s="146">
        <f t="shared" si="51"/>
        <v>24.833333333333332</v>
      </c>
      <c r="W548" s="150">
        <f t="shared" si="52"/>
        <v>8.1666666666666679</v>
      </c>
      <c r="X548" s="146">
        <f t="shared" si="53"/>
        <v>8.1666666666666679</v>
      </c>
    </row>
    <row r="549" spans="1:24" ht="9.75" customHeight="1" x14ac:dyDescent="0.25">
      <c r="A549" s="288">
        <v>286</v>
      </c>
      <c r="B549" s="288"/>
      <c r="D549" s="258" t="s">
        <v>70</v>
      </c>
      <c r="E549" s="289">
        <v>36556</v>
      </c>
      <c r="F549" s="289"/>
      <c r="G549" s="289"/>
      <c r="H549" s="289"/>
      <c r="I549" s="290" t="s">
        <v>205</v>
      </c>
      <c r="J549" s="290"/>
      <c r="K549" s="290"/>
      <c r="L549" s="47">
        <v>33.299999999999997</v>
      </c>
      <c r="M549" s="262">
        <v>992.25</v>
      </c>
      <c r="N549" s="47">
        <v>100</v>
      </c>
      <c r="O549" s="291">
        <v>506.6</v>
      </c>
      <c r="P549" s="291"/>
      <c r="Q549" s="291"/>
      <c r="R549" s="262">
        <v>29.8</v>
      </c>
      <c r="S549" s="262">
        <v>536.4</v>
      </c>
      <c r="U549" s="149">
        <f t="shared" si="50"/>
        <v>48710.5</v>
      </c>
      <c r="V549" s="146">
        <f t="shared" si="51"/>
        <v>17.916666666666668</v>
      </c>
      <c r="W549" s="150">
        <f t="shared" si="52"/>
        <v>15.383333333333329</v>
      </c>
      <c r="X549" s="146">
        <f t="shared" si="53"/>
        <v>15.383333333333329</v>
      </c>
    </row>
    <row r="550" spans="1:24" ht="9.75" customHeight="1" x14ac:dyDescent="0.25">
      <c r="A550" s="288">
        <v>309</v>
      </c>
      <c r="B550" s="288"/>
      <c r="D550" s="258" t="s">
        <v>70</v>
      </c>
      <c r="E550" s="289">
        <v>36738</v>
      </c>
      <c r="F550" s="289"/>
      <c r="G550" s="289"/>
      <c r="H550" s="289"/>
      <c r="I550" s="290" t="s">
        <v>205</v>
      </c>
      <c r="J550" s="290"/>
      <c r="K550" s="290"/>
      <c r="L550" s="47">
        <v>33.299999999999997</v>
      </c>
      <c r="M550" s="262">
        <v>60.38</v>
      </c>
      <c r="N550" s="47">
        <v>100</v>
      </c>
      <c r="O550" s="291">
        <v>29.87</v>
      </c>
      <c r="P550" s="291"/>
      <c r="Q550" s="291"/>
      <c r="R550" s="262">
        <v>1.81</v>
      </c>
      <c r="S550" s="262">
        <v>31.68</v>
      </c>
      <c r="U550" s="149">
        <f t="shared" si="50"/>
        <v>48892.5</v>
      </c>
      <c r="V550" s="146">
        <f t="shared" si="51"/>
        <v>17.416666666666668</v>
      </c>
      <c r="W550" s="150">
        <f t="shared" si="52"/>
        <v>15.883333333333329</v>
      </c>
      <c r="X550" s="146">
        <f t="shared" si="53"/>
        <v>15.883333333333329</v>
      </c>
    </row>
    <row r="551" spans="1:24" ht="9.75" customHeight="1" x14ac:dyDescent="0.25">
      <c r="A551" s="288">
        <v>316</v>
      </c>
      <c r="B551" s="288"/>
      <c r="D551" s="258" t="s">
        <v>70</v>
      </c>
      <c r="E551" s="289">
        <v>36769</v>
      </c>
      <c r="F551" s="289"/>
      <c r="G551" s="289"/>
      <c r="H551" s="289"/>
      <c r="I551" s="290" t="s">
        <v>205</v>
      </c>
      <c r="J551" s="290"/>
      <c r="K551" s="290"/>
      <c r="L551" s="47">
        <v>33.299999999999997</v>
      </c>
      <c r="M551" s="262">
        <v>3749</v>
      </c>
      <c r="N551" s="47">
        <v>100</v>
      </c>
      <c r="O551" s="291">
        <v>1848.19</v>
      </c>
      <c r="P551" s="291"/>
      <c r="Q551" s="291"/>
      <c r="R551" s="262">
        <v>112.58</v>
      </c>
      <c r="S551" s="262">
        <v>1960.77</v>
      </c>
      <c r="U551" s="149">
        <f t="shared" si="50"/>
        <v>48923.5</v>
      </c>
      <c r="V551" s="146">
        <f t="shared" si="51"/>
        <v>17.333333333333332</v>
      </c>
      <c r="W551" s="150">
        <f t="shared" si="52"/>
        <v>15.966666666666665</v>
      </c>
      <c r="X551" s="146">
        <f t="shared" si="53"/>
        <v>15.966666666666665</v>
      </c>
    </row>
    <row r="552" spans="1:24" ht="9.75" customHeight="1" x14ac:dyDescent="0.25">
      <c r="A552" s="288">
        <v>320</v>
      </c>
      <c r="B552" s="288"/>
      <c r="D552" s="258" t="s">
        <v>70</v>
      </c>
      <c r="E552" s="289">
        <v>36799</v>
      </c>
      <c r="F552" s="289"/>
      <c r="G552" s="289"/>
      <c r="H552" s="289"/>
      <c r="I552" s="290" t="s">
        <v>205</v>
      </c>
      <c r="J552" s="290"/>
      <c r="K552" s="290"/>
      <c r="L552" s="47">
        <v>33.299999999999997</v>
      </c>
      <c r="M552" s="262">
        <v>745.5</v>
      </c>
      <c r="N552" s="47">
        <v>100</v>
      </c>
      <c r="O552" s="291">
        <v>365.7</v>
      </c>
      <c r="P552" s="291"/>
      <c r="Q552" s="291"/>
      <c r="R552" s="262">
        <v>22.39</v>
      </c>
      <c r="S552" s="262">
        <v>388.09000000000003</v>
      </c>
      <c r="U552" s="149">
        <f t="shared" si="50"/>
        <v>48953.5</v>
      </c>
      <c r="V552" s="146">
        <f t="shared" si="51"/>
        <v>17.25</v>
      </c>
      <c r="W552" s="150">
        <f t="shared" si="52"/>
        <v>16.049999999999997</v>
      </c>
      <c r="X552" s="146">
        <f t="shared" si="53"/>
        <v>16.049999999999997</v>
      </c>
    </row>
    <row r="553" spans="1:24" ht="9.75" customHeight="1" x14ac:dyDescent="0.25">
      <c r="A553" s="288">
        <v>341</v>
      </c>
      <c r="B553" s="288"/>
      <c r="D553" s="258" t="s">
        <v>70</v>
      </c>
      <c r="E553" s="289">
        <v>36922</v>
      </c>
      <c r="F553" s="289"/>
      <c r="G553" s="289"/>
      <c r="H553" s="289"/>
      <c r="I553" s="290" t="s">
        <v>205</v>
      </c>
      <c r="J553" s="290"/>
      <c r="K553" s="290"/>
      <c r="L553" s="47">
        <v>33</v>
      </c>
      <c r="M553" s="262">
        <v>9988.1299999999992</v>
      </c>
      <c r="N553" s="47">
        <v>100</v>
      </c>
      <c r="O553" s="291">
        <v>4842.72</v>
      </c>
      <c r="P553" s="291"/>
      <c r="Q553" s="291"/>
      <c r="R553" s="262">
        <v>302.67</v>
      </c>
      <c r="S553" s="262">
        <v>5145.3900000000003</v>
      </c>
      <c r="U553" s="149">
        <f t="shared" si="50"/>
        <v>48967</v>
      </c>
      <c r="V553" s="146">
        <f t="shared" si="51"/>
        <v>16.916666666666668</v>
      </c>
      <c r="W553" s="150">
        <f t="shared" si="52"/>
        <v>16.083333333333332</v>
      </c>
      <c r="X553" s="146">
        <f t="shared" si="53"/>
        <v>16.083333333333332</v>
      </c>
    </row>
    <row r="554" spans="1:24" ht="9.75" customHeight="1" x14ac:dyDescent="0.25">
      <c r="A554" s="288">
        <v>370</v>
      </c>
      <c r="B554" s="288"/>
      <c r="D554" s="258" t="s">
        <v>70</v>
      </c>
      <c r="E554" s="289">
        <v>37134</v>
      </c>
      <c r="F554" s="289"/>
      <c r="G554" s="289"/>
      <c r="H554" s="289"/>
      <c r="I554" s="290" t="s">
        <v>205</v>
      </c>
      <c r="J554" s="290"/>
      <c r="K554" s="290"/>
      <c r="L554" s="47">
        <v>33</v>
      </c>
      <c r="M554" s="262">
        <v>1758.75</v>
      </c>
      <c r="N554" s="47">
        <v>100</v>
      </c>
      <c r="O554" s="291">
        <v>821.71</v>
      </c>
      <c r="P554" s="291"/>
      <c r="Q554" s="291"/>
      <c r="R554" s="262">
        <v>53.300000000000004</v>
      </c>
      <c r="S554" s="262">
        <v>875.01</v>
      </c>
      <c r="U554" s="149">
        <f t="shared" si="50"/>
        <v>49179</v>
      </c>
      <c r="V554" s="146">
        <f t="shared" si="51"/>
        <v>16.333333333333332</v>
      </c>
      <c r="W554" s="150">
        <f t="shared" si="52"/>
        <v>16.666666666666668</v>
      </c>
      <c r="X554" s="146">
        <f t="shared" si="53"/>
        <v>16.666666666666668</v>
      </c>
    </row>
    <row r="555" spans="1:24" ht="9.75" customHeight="1" x14ac:dyDescent="0.25">
      <c r="A555" s="288">
        <v>421</v>
      </c>
      <c r="B555" s="288"/>
      <c r="D555" s="258" t="s">
        <v>70</v>
      </c>
      <c r="E555" s="289">
        <v>37499</v>
      </c>
      <c r="F555" s="289"/>
      <c r="G555" s="289"/>
      <c r="H555" s="289"/>
      <c r="I555" s="290" t="s">
        <v>205</v>
      </c>
      <c r="J555" s="290"/>
      <c r="K555" s="290"/>
      <c r="L555" s="47">
        <v>33</v>
      </c>
      <c r="M555" s="262">
        <v>679.92</v>
      </c>
      <c r="N555" s="47">
        <v>100</v>
      </c>
      <c r="O555" s="291">
        <v>296.98</v>
      </c>
      <c r="P555" s="291"/>
      <c r="Q555" s="291"/>
      <c r="R555" s="262">
        <v>20.6</v>
      </c>
      <c r="S555" s="262">
        <v>317.58</v>
      </c>
      <c r="U555" s="149">
        <f t="shared" si="50"/>
        <v>49544</v>
      </c>
      <c r="V555" s="146">
        <f t="shared" si="51"/>
        <v>15.333333333333334</v>
      </c>
      <c r="W555" s="150">
        <f t="shared" si="52"/>
        <v>17.666666666666664</v>
      </c>
      <c r="X555" s="146">
        <f t="shared" si="53"/>
        <v>17.666666666666664</v>
      </c>
    </row>
    <row r="556" spans="1:24" ht="9.75" customHeight="1" x14ac:dyDescent="0.25">
      <c r="A556" s="288">
        <v>438</v>
      </c>
      <c r="B556" s="288"/>
      <c r="D556" s="258" t="s">
        <v>70</v>
      </c>
      <c r="E556" s="289">
        <v>37590</v>
      </c>
      <c r="F556" s="289"/>
      <c r="G556" s="289"/>
      <c r="H556" s="289"/>
      <c r="I556" s="290" t="s">
        <v>205</v>
      </c>
      <c r="J556" s="290"/>
      <c r="K556" s="290"/>
      <c r="L556" s="47">
        <v>33</v>
      </c>
      <c r="M556" s="262">
        <v>1897.03</v>
      </c>
      <c r="N556" s="47">
        <v>100</v>
      </c>
      <c r="O556" s="291">
        <v>814.44</v>
      </c>
      <c r="P556" s="291"/>
      <c r="Q556" s="291"/>
      <c r="R556" s="262">
        <v>57.49</v>
      </c>
      <c r="S556" s="262">
        <v>871.93000000000006</v>
      </c>
      <c r="U556" s="149">
        <f t="shared" si="50"/>
        <v>49635</v>
      </c>
      <c r="V556" s="146">
        <f t="shared" si="51"/>
        <v>15.083333333333334</v>
      </c>
      <c r="W556" s="150">
        <f t="shared" si="52"/>
        <v>17.916666666666664</v>
      </c>
      <c r="X556" s="146">
        <f t="shared" si="53"/>
        <v>17.916666666666664</v>
      </c>
    </row>
    <row r="557" spans="1:24" ht="9.75" customHeight="1" x14ac:dyDescent="0.25">
      <c r="A557" s="288">
        <v>446</v>
      </c>
      <c r="B557" s="288"/>
      <c r="D557" s="258" t="s">
        <v>70</v>
      </c>
      <c r="E557" s="289">
        <v>37652</v>
      </c>
      <c r="F557" s="289"/>
      <c r="G557" s="289"/>
      <c r="H557" s="289"/>
      <c r="I557" s="290" t="s">
        <v>205</v>
      </c>
      <c r="J557" s="290"/>
      <c r="K557" s="290"/>
      <c r="L557" s="47">
        <v>33</v>
      </c>
      <c r="M557" s="262">
        <v>97.5</v>
      </c>
      <c r="N557" s="47">
        <v>100</v>
      </c>
      <c r="O557" s="291">
        <v>41.300000000000004</v>
      </c>
      <c r="P557" s="291"/>
      <c r="Q557" s="291"/>
      <c r="R557" s="262">
        <v>2.95</v>
      </c>
      <c r="S557" s="262">
        <v>44.25</v>
      </c>
      <c r="U557" s="149">
        <f t="shared" si="50"/>
        <v>49697</v>
      </c>
      <c r="V557" s="146">
        <f t="shared" si="51"/>
        <v>14.916666666666666</v>
      </c>
      <c r="W557" s="150">
        <f t="shared" si="52"/>
        <v>18.083333333333336</v>
      </c>
      <c r="X557" s="146">
        <f t="shared" si="53"/>
        <v>18.083333333333336</v>
      </c>
    </row>
    <row r="558" spans="1:24" ht="9.75" customHeight="1" x14ac:dyDescent="0.25">
      <c r="A558" s="288">
        <v>513</v>
      </c>
      <c r="B558" s="288"/>
      <c r="D558" s="258" t="s">
        <v>70</v>
      </c>
      <c r="E558" s="289">
        <v>37897</v>
      </c>
      <c r="F558" s="289"/>
      <c r="G558" s="289"/>
      <c r="H558" s="289"/>
      <c r="I558" s="290" t="s">
        <v>205</v>
      </c>
      <c r="J558" s="290"/>
      <c r="K558" s="290"/>
      <c r="L558" s="47">
        <v>33</v>
      </c>
      <c r="M558" s="262">
        <v>275.60000000000002</v>
      </c>
      <c r="N558" s="47">
        <v>100</v>
      </c>
      <c r="O558" s="291">
        <v>110.64</v>
      </c>
      <c r="P558" s="291"/>
      <c r="Q558" s="291"/>
      <c r="R558" s="262">
        <v>8.35</v>
      </c>
      <c r="S558" s="262">
        <v>118.99000000000001</v>
      </c>
      <c r="U558" s="149">
        <f t="shared" si="50"/>
        <v>49942</v>
      </c>
      <c r="V558" s="146">
        <f t="shared" si="51"/>
        <v>14.244444444444444</v>
      </c>
      <c r="W558" s="150">
        <f t="shared" si="52"/>
        <v>18.755555555555556</v>
      </c>
      <c r="X558" s="146">
        <f t="shared" si="53"/>
        <v>18.755555555555556</v>
      </c>
    </row>
    <row r="559" spans="1:24" ht="9.75" customHeight="1" x14ac:dyDescent="0.25">
      <c r="A559" s="288">
        <v>532</v>
      </c>
      <c r="B559" s="288"/>
      <c r="D559" s="258" t="s">
        <v>70</v>
      </c>
      <c r="E559" s="289">
        <v>37928</v>
      </c>
      <c r="F559" s="289"/>
      <c r="G559" s="289"/>
      <c r="H559" s="289"/>
      <c r="I559" s="290" t="s">
        <v>205</v>
      </c>
      <c r="J559" s="290"/>
      <c r="K559" s="290"/>
      <c r="L559" s="47">
        <v>33</v>
      </c>
      <c r="M559" s="262">
        <v>1204.17</v>
      </c>
      <c r="N559" s="47">
        <v>100</v>
      </c>
      <c r="O559" s="291">
        <v>480.45</v>
      </c>
      <c r="P559" s="291"/>
      <c r="Q559" s="291"/>
      <c r="R559" s="262">
        <v>36.49</v>
      </c>
      <c r="S559" s="262">
        <v>516.94000000000005</v>
      </c>
      <c r="U559" s="149">
        <f t="shared" si="50"/>
        <v>49973</v>
      </c>
      <c r="V559" s="146">
        <f t="shared" si="51"/>
        <v>14.161111111111111</v>
      </c>
      <c r="W559" s="150">
        <f t="shared" si="52"/>
        <v>18.838888888888889</v>
      </c>
      <c r="X559" s="146">
        <f t="shared" si="53"/>
        <v>18.838888888888889</v>
      </c>
    </row>
    <row r="560" spans="1:24" ht="9.75" customHeight="1" x14ac:dyDescent="0.25">
      <c r="A560" s="288">
        <v>546</v>
      </c>
      <c r="B560" s="288"/>
      <c r="D560" s="258" t="s">
        <v>70</v>
      </c>
      <c r="E560" s="289">
        <v>38047</v>
      </c>
      <c r="F560" s="289"/>
      <c r="G560" s="289"/>
      <c r="H560" s="289"/>
      <c r="I560" s="290" t="s">
        <v>205</v>
      </c>
      <c r="J560" s="290"/>
      <c r="K560" s="290"/>
      <c r="L560" s="47">
        <v>33</v>
      </c>
      <c r="M560" s="262">
        <v>1017.6</v>
      </c>
      <c r="N560" s="47">
        <v>100</v>
      </c>
      <c r="O560" s="291">
        <v>395.78000000000003</v>
      </c>
      <c r="P560" s="291"/>
      <c r="Q560" s="291"/>
      <c r="R560" s="262">
        <v>30.84</v>
      </c>
      <c r="S560" s="262">
        <v>426.62</v>
      </c>
      <c r="U560" s="149">
        <f t="shared" si="50"/>
        <v>50092</v>
      </c>
      <c r="V560" s="146">
        <f t="shared" si="51"/>
        <v>13.833333333333334</v>
      </c>
      <c r="W560" s="150">
        <f t="shared" si="52"/>
        <v>19.166666666666664</v>
      </c>
      <c r="X560" s="146">
        <f t="shared" si="53"/>
        <v>19.166666666666664</v>
      </c>
    </row>
    <row r="561" spans="1:24" ht="9.75" customHeight="1" x14ac:dyDescent="0.25">
      <c r="A561" s="288">
        <v>564</v>
      </c>
      <c r="B561" s="288"/>
      <c r="D561" s="258" t="s">
        <v>70</v>
      </c>
      <c r="E561" s="289">
        <v>38142</v>
      </c>
      <c r="F561" s="289"/>
      <c r="G561" s="289"/>
      <c r="H561" s="289"/>
      <c r="I561" s="290" t="s">
        <v>205</v>
      </c>
      <c r="J561" s="290"/>
      <c r="K561" s="290"/>
      <c r="L561" s="47">
        <v>33</v>
      </c>
      <c r="M561" s="262">
        <v>151.69</v>
      </c>
      <c r="N561" s="47">
        <v>100</v>
      </c>
      <c r="O561" s="291">
        <v>57.88</v>
      </c>
      <c r="P561" s="291"/>
      <c r="Q561" s="291"/>
      <c r="R561" s="262">
        <v>4.5999999999999996</v>
      </c>
      <c r="S561" s="262">
        <v>62.480000000000004</v>
      </c>
      <c r="U561" s="149">
        <f t="shared" si="50"/>
        <v>50187</v>
      </c>
      <c r="V561" s="146">
        <f t="shared" si="51"/>
        <v>13.574999999999999</v>
      </c>
      <c r="W561" s="150">
        <f t="shared" si="52"/>
        <v>19.425000000000001</v>
      </c>
      <c r="X561" s="146">
        <f t="shared" si="53"/>
        <v>19.425000000000001</v>
      </c>
    </row>
    <row r="562" spans="1:24" ht="9.75" customHeight="1" x14ac:dyDescent="0.25">
      <c r="A562" s="288">
        <v>565</v>
      </c>
      <c r="B562" s="288"/>
      <c r="D562" s="258" t="s">
        <v>70</v>
      </c>
      <c r="E562" s="289">
        <v>38168</v>
      </c>
      <c r="F562" s="289"/>
      <c r="G562" s="289"/>
      <c r="H562" s="289"/>
      <c r="I562" s="290" t="s">
        <v>205</v>
      </c>
      <c r="J562" s="290"/>
      <c r="K562" s="290"/>
      <c r="L562" s="47">
        <v>33</v>
      </c>
      <c r="M562" s="262">
        <v>105</v>
      </c>
      <c r="N562" s="47">
        <v>100</v>
      </c>
      <c r="O562" s="291">
        <v>39.75</v>
      </c>
      <c r="P562" s="291"/>
      <c r="Q562" s="291"/>
      <c r="R562" s="262">
        <v>3.18</v>
      </c>
      <c r="S562" s="262">
        <v>42.93</v>
      </c>
      <c r="U562" s="149">
        <f t="shared" si="50"/>
        <v>50213</v>
      </c>
      <c r="V562" s="146">
        <f t="shared" si="51"/>
        <v>13.5</v>
      </c>
      <c r="W562" s="150">
        <f t="shared" si="52"/>
        <v>19.5</v>
      </c>
      <c r="X562" s="146">
        <f t="shared" si="53"/>
        <v>19.5</v>
      </c>
    </row>
    <row r="563" spans="1:24" ht="9.75" customHeight="1" x14ac:dyDescent="0.25">
      <c r="A563" s="288">
        <v>575</v>
      </c>
      <c r="B563" s="288"/>
      <c r="D563" s="258" t="s">
        <v>70</v>
      </c>
      <c r="E563" s="289">
        <v>38205</v>
      </c>
      <c r="F563" s="289"/>
      <c r="G563" s="289"/>
      <c r="H563" s="289"/>
      <c r="I563" s="290" t="s">
        <v>205</v>
      </c>
      <c r="J563" s="290"/>
      <c r="K563" s="290"/>
      <c r="L563" s="47">
        <v>33</v>
      </c>
      <c r="M563" s="262">
        <v>375.17</v>
      </c>
      <c r="N563" s="47">
        <v>100</v>
      </c>
      <c r="O563" s="291">
        <v>141.18</v>
      </c>
      <c r="P563" s="291"/>
      <c r="Q563" s="291"/>
      <c r="R563" s="262">
        <v>11.370000000000001</v>
      </c>
      <c r="S563" s="262">
        <v>152.55000000000001</v>
      </c>
      <c r="U563" s="149">
        <f t="shared" si="50"/>
        <v>50250</v>
      </c>
      <c r="V563" s="146">
        <f t="shared" si="51"/>
        <v>13.402777777777779</v>
      </c>
      <c r="W563" s="150">
        <f t="shared" si="52"/>
        <v>19.597222222222221</v>
      </c>
      <c r="X563" s="146">
        <f t="shared" si="53"/>
        <v>19.597222222222221</v>
      </c>
    </row>
    <row r="564" spans="1:24" ht="9.75" customHeight="1" x14ac:dyDescent="0.25">
      <c r="A564" s="288">
        <v>576</v>
      </c>
      <c r="B564" s="288"/>
      <c r="D564" s="258" t="s">
        <v>70</v>
      </c>
      <c r="E564" s="289">
        <v>38205</v>
      </c>
      <c r="F564" s="289"/>
      <c r="G564" s="289"/>
      <c r="H564" s="289"/>
      <c r="I564" s="290" t="s">
        <v>205</v>
      </c>
      <c r="J564" s="290"/>
      <c r="K564" s="290"/>
      <c r="L564" s="47">
        <v>33</v>
      </c>
      <c r="M564" s="262">
        <v>322.83999999999997</v>
      </c>
      <c r="N564" s="47">
        <v>100</v>
      </c>
      <c r="O564" s="291">
        <v>121.44</v>
      </c>
      <c r="P564" s="291"/>
      <c r="Q564" s="291"/>
      <c r="R564" s="262">
        <v>9.7799999999999994</v>
      </c>
      <c r="S564" s="262">
        <v>131.22</v>
      </c>
      <c r="U564" s="149">
        <f t="shared" si="50"/>
        <v>50250</v>
      </c>
      <c r="V564" s="146">
        <f t="shared" si="51"/>
        <v>13.402777777777779</v>
      </c>
      <c r="W564" s="150">
        <f t="shared" si="52"/>
        <v>19.597222222222221</v>
      </c>
      <c r="X564" s="146">
        <f t="shared" si="53"/>
        <v>19.597222222222221</v>
      </c>
    </row>
    <row r="565" spans="1:24" ht="9.75" customHeight="1" x14ac:dyDescent="0.25">
      <c r="A565" s="288">
        <v>586</v>
      </c>
      <c r="B565" s="288"/>
      <c r="D565" s="258" t="s">
        <v>70</v>
      </c>
      <c r="E565" s="289">
        <v>38233</v>
      </c>
      <c r="F565" s="289"/>
      <c r="G565" s="289"/>
      <c r="H565" s="289"/>
      <c r="I565" s="290" t="s">
        <v>205</v>
      </c>
      <c r="J565" s="290"/>
      <c r="K565" s="290"/>
      <c r="L565" s="47">
        <v>33</v>
      </c>
      <c r="M565" s="262">
        <v>1898.65</v>
      </c>
      <c r="N565" s="47">
        <v>100</v>
      </c>
      <c r="O565" s="291">
        <v>709.54</v>
      </c>
      <c r="P565" s="291"/>
      <c r="Q565" s="291"/>
      <c r="R565" s="262">
        <v>57.53</v>
      </c>
      <c r="S565" s="262">
        <v>767.07</v>
      </c>
      <c r="U565" s="149">
        <f t="shared" si="50"/>
        <v>50278</v>
      </c>
      <c r="V565" s="146">
        <f t="shared" si="51"/>
        <v>13.327777777777778</v>
      </c>
      <c r="W565" s="150">
        <f t="shared" si="52"/>
        <v>19.672222222222224</v>
      </c>
      <c r="X565" s="146">
        <f t="shared" si="53"/>
        <v>19.672222222222224</v>
      </c>
    </row>
    <row r="566" spans="1:24" ht="9.75" customHeight="1" x14ac:dyDescent="0.25">
      <c r="A566" s="288">
        <v>587</v>
      </c>
      <c r="B566" s="288"/>
      <c r="D566" s="258" t="s">
        <v>70</v>
      </c>
      <c r="E566" s="289">
        <v>38233</v>
      </c>
      <c r="F566" s="289"/>
      <c r="G566" s="289"/>
      <c r="H566" s="289"/>
      <c r="I566" s="290" t="s">
        <v>205</v>
      </c>
      <c r="J566" s="290"/>
      <c r="K566" s="290"/>
      <c r="L566" s="47">
        <v>33</v>
      </c>
      <c r="M566" s="262">
        <v>252.75</v>
      </c>
      <c r="N566" s="47">
        <v>100</v>
      </c>
      <c r="O566" s="291">
        <v>94.47</v>
      </c>
      <c r="P566" s="291"/>
      <c r="Q566" s="291"/>
      <c r="R566" s="262">
        <v>7.66</v>
      </c>
      <c r="S566" s="262">
        <v>102.13</v>
      </c>
      <c r="U566" s="149">
        <f t="shared" si="50"/>
        <v>50278</v>
      </c>
      <c r="V566" s="146">
        <f t="shared" si="51"/>
        <v>13.327777777777778</v>
      </c>
      <c r="W566" s="150">
        <f t="shared" si="52"/>
        <v>19.672222222222224</v>
      </c>
      <c r="X566" s="146">
        <f t="shared" si="53"/>
        <v>19.672222222222224</v>
      </c>
    </row>
    <row r="567" spans="1:24" ht="9.75" customHeight="1" x14ac:dyDescent="0.25">
      <c r="A567" s="288">
        <v>594</v>
      </c>
      <c r="B567" s="288"/>
      <c r="D567" s="258" t="s">
        <v>70</v>
      </c>
      <c r="E567" s="289">
        <v>38291</v>
      </c>
      <c r="F567" s="289"/>
      <c r="G567" s="289"/>
      <c r="H567" s="289"/>
      <c r="I567" s="290" t="s">
        <v>205</v>
      </c>
      <c r="J567" s="290"/>
      <c r="K567" s="290"/>
      <c r="L567" s="47">
        <v>33</v>
      </c>
      <c r="M567" s="262">
        <v>15</v>
      </c>
      <c r="N567" s="47">
        <v>100</v>
      </c>
      <c r="O567" s="291">
        <v>5.48</v>
      </c>
      <c r="P567" s="291"/>
      <c r="Q567" s="291"/>
      <c r="R567" s="262">
        <v>0.45</v>
      </c>
      <c r="S567" s="262">
        <v>5.93</v>
      </c>
      <c r="U567" s="149">
        <f t="shared" si="50"/>
        <v>50336</v>
      </c>
      <c r="V567" s="146">
        <f t="shared" si="51"/>
        <v>13.166666666666666</v>
      </c>
      <c r="W567" s="150">
        <f t="shared" si="52"/>
        <v>19.833333333333336</v>
      </c>
      <c r="X567" s="146">
        <f t="shared" si="53"/>
        <v>19.833333333333336</v>
      </c>
    </row>
    <row r="568" spans="1:24" ht="9.75" customHeight="1" x14ac:dyDescent="0.25">
      <c r="A568" s="288">
        <v>600</v>
      </c>
      <c r="B568" s="288"/>
      <c r="D568" s="258" t="s">
        <v>70</v>
      </c>
      <c r="E568" s="289">
        <v>38292</v>
      </c>
      <c r="F568" s="289"/>
      <c r="G568" s="289"/>
      <c r="H568" s="289"/>
      <c r="I568" s="290" t="s">
        <v>205</v>
      </c>
      <c r="J568" s="290"/>
      <c r="K568" s="290"/>
      <c r="L568" s="47">
        <v>33</v>
      </c>
      <c r="M568" s="262">
        <v>1208.4000000000001</v>
      </c>
      <c r="N568" s="47">
        <v>100</v>
      </c>
      <c r="O568" s="291">
        <v>445.54</v>
      </c>
      <c r="P568" s="291"/>
      <c r="Q568" s="291"/>
      <c r="R568" s="262">
        <v>36.619999999999997</v>
      </c>
      <c r="S568" s="262">
        <v>482.16</v>
      </c>
      <c r="U568" s="149">
        <f t="shared" si="50"/>
        <v>50337</v>
      </c>
      <c r="V568" s="146">
        <f t="shared" si="51"/>
        <v>13.166666666666666</v>
      </c>
      <c r="W568" s="150">
        <f t="shared" si="52"/>
        <v>19.833333333333336</v>
      </c>
      <c r="X568" s="146">
        <f t="shared" si="53"/>
        <v>19.833333333333336</v>
      </c>
    </row>
    <row r="569" spans="1:24" ht="9.75" customHeight="1" x14ac:dyDescent="0.25">
      <c r="A569" s="288">
        <v>607</v>
      </c>
      <c r="B569" s="288"/>
      <c r="D569" s="258" t="s">
        <v>70</v>
      </c>
      <c r="E569" s="289">
        <v>38351</v>
      </c>
      <c r="F569" s="289"/>
      <c r="G569" s="289"/>
      <c r="H569" s="289"/>
      <c r="I569" s="290" t="s">
        <v>205</v>
      </c>
      <c r="J569" s="290"/>
      <c r="K569" s="290"/>
      <c r="L569" s="47">
        <v>33</v>
      </c>
      <c r="M569" s="262">
        <v>671.83</v>
      </c>
      <c r="N569" s="47">
        <v>100</v>
      </c>
      <c r="O569" s="291">
        <v>244.32</v>
      </c>
      <c r="P569" s="291"/>
      <c r="Q569" s="291"/>
      <c r="R569" s="262">
        <v>20.36</v>
      </c>
      <c r="S569" s="262">
        <v>264.68</v>
      </c>
      <c r="U569" s="149">
        <f t="shared" si="50"/>
        <v>50396</v>
      </c>
      <c r="V569" s="146">
        <f t="shared" si="51"/>
        <v>13</v>
      </c>
      <c r="W569" s="150">
        <f t="shared" si="52"/>
        <v>20</v>
      </c>
      <c r="X569" s="146">
        <f t="shared" si="53"/>
        <v>20</v>
      </c>
    </row>
    <row r="570" spans="1:24" ht="9.75" customHeight="1" x14ac:dyDescent="0.25">
      <c r="A570" s="288">
        <v>615</v>
      </c>
      <c r="B570" s="288"/>
      <c r="D570" s="258" t="s">
        <v>70</v>
      </c>
      <c r="E570" s="289">
        <v>38387</v>
      </c>
      <c r="F570" s="289"/>
      <c r="G570" s="289"/>
      <c r="H570" s="289"/>
      <c r="I570" s="290" t="s">
        <v>205</v>
      </c>
      <c r="J570" s="290"/>
      <c r="K570" s="290"/>
      <c r="L570" s="47">
        <v>33</v>
      </c>
      <c r="M570" s="262">
        <v>1988.56</v>
      </c>
      <c r="N570" s="47">
        <v>100</v>
      </c>
      <c r="O570" s="291">
        <v>718.1</v>
      </c>
      <c r="P570" s="291"/>
      <c r="Q570" s="291"/>
      <c r="R570" s="262">
        <v>60.26</v>
      </c>
      <c r="S570" s="262">
        <v>778.36</v>
      </c>
      <c r="U570" s="149">
        <f t="shared" si="50"/>
        <v>50432</v>
      </c>
      <c r="V570" s="146">
        <f t="shared" si="51"/>
        <v>12.908333333333333</v>
      </c>
      <c r="W570" s="150">
        <f t="shared" si="52"/>
        <v>20.091666666666669</v>
      </c>
      <c r="X570" s="146">
        <f t="shared" si="53"/>
        <v>20.091666666666669</v>
      </c>
    </row>
    <row r="571" spans="1:24" ht="9.75" customHeight="1" x14ac:dyDescent="0.25">
      <c r="A571" s="288">
        <v>627</v>
      </c>
      <c r="B571" s="288"/>
      <c r="D571" s="258" t="s">
        <v>70</v>
      </c>
      <c r="E571" s="289">
        <v>38475</v>
      </c>
      <c r="F571" s="289"/>
      <c r="G571" s="289"/>
      <c r="H571" s="289"/>
      <c r="I571" s="290" t="s">
        <v>205</v>
      </c>
      <c r="J571" s="290"/>
      <c r="K571" s="290"/>
      <c r="L571" s="47">
        <v>33</v>
      </c>
      <c r="M571" s="262">
        <v>4309.16</v>
      </c>
      <c r="N571" s="47">
        <v>100</v>
      </c>
      <c r="O571" s="291">
        <v>1523.43</v>
      </c>
      <c r="P571" s="291"/>
      <c r="Q571" s="291"/>
      <c r="R571" s="262">
        <v>130.58000000000001</v>
      </c>
      <c r="S571" s="262">
        <v>1654.01</v>
      </c>
      <c r="U571" s="149">
        <f t="shared" si="50"/>
        <v>50520</v>
      </c>
      <c r="V571" s="146">
        <f t="shared" si="51"/>
        <v>12.661111111111111</v>
      </c>
      <c r="W571" s="150">
        <f t="shared" si="52"/>
        <v>20.338888888888889</v>
      </c>
      <c r="X571" s="146">
        <f t="shared" si="53"/>
        <v>20.338888888888889</v>
      </c>
    </row>
    <row r="572" spans="1:24" ht="9.75" customHeight="1" x14ac:dyDescent="0.25">
      <c r="A572" s="288">
        <v>636</v>
      </c>
      <c r="B572" s="288"/>
      <c r="D572" s="258" t="s">
        <v>70</v>
      </c>
      <c r="E572" s="289">
        <v>38538</v>
      </c>
      <c r="F572" s="289"/>
      <c r="G572" s="289"/>
      <c r="H572" s="289"/>
      <c r="I572" s="290" t="s">
        <v>205</v>
      </c>
      <c r="J572" s="290"/>
      <c r="K572" s="290"/>
      <c r="L572" s="47">
        <v>33</v>
      </c>
      <c r="M572" s="262">
        <v>3330.03</v>
      </c>
      <c r="N572" s="47">
        <v>100</v>
      </c>
      <c r="O572" s="291">
        <v>1160.47</v>
      </c>
      <c r="P572" s="291"/>
      <c r="Q572" s="291"/>
      <c r="R572" s="262">
        <v>100.91</v>
      </c>
      <c r="S572" s="262">
        <v>1261.3800000000001</v>
      </c>
      <c r="U572" s="149">
        <f t="shared" si="50"/>
        <v>50583</v>
      </c>
      <c r="V572" s="146">
        <f t="shared" si="51"/>
        <v>12.488888888888889</v>
      </c>
      <c r="W572" s="150">
        <f t="shared" si="52"/>
        <v>20.511111111111113</v>
      </c>
      <c r="X572" s="146">
        <f t="shared" si="53"/>
        <v>20.511111111111113</v>
      </c>
    </row>
    <row r="573" spans="1:24" ht="9.75" customHeight="1" x14ac:dyDescent="0.25">
      <c r="A573" s="288">
        <v>660</v>
      </c>
      <c r="B573" s="288"/>
      <c r="D573" s="258" t="s">
        <v>70</v>
      </c>
      <c r="E573" s="289">
        <v>38716</v>
      </c>
      <c r="F573" s="289"/>
      <c r="G573" s="289"/>
      <c r="H573" s="289"/>
      <c r="I573" s="290" t="s">
        <v>205</v>
      </c>
      <c r="J573" s="290"/>
      <c r="K573" s="290"/>
      <c r="L573" s="47">
        <v>33</v>
      </c>
      <c r="M573" s="262">
        <v>1129.96</v>
      </c>
      <c r="N573" s="47">
        <v>100</v>
      </c>
      <c r="O573" s="291">
        <v>376.64</v>
      </c>
      <c r="P573" s="291"/>
      <c r="Q573" s="291"/>
      <c r="R573" s="262">
        <v>34.24</v>
      </c>
      <c r="S573" s="262">
        <v>410.88</v>
      </c>
      <c r="U573" s="149">
        <f t="shared" si="50"/>
        <v>50761</v>
      </c>
      <c r="V573" s="146">
        <f t="shared" si="51"/>
        <v>12</v>
      </c>
      <c r="W573" s="150">
        <f t="shared" si="52"/>
        <v>21</v>
      </c>
      <c r="X573" s="146">
        <f t="shared" si="53"/>
        <v>21</v>
      </c>
    </row>
    <row r="574" spans="1:24" ht="9.75" customHeight="1" x14ac:dyDescent="0.25">
      <c r="A574" s="288">
        <v>692</v>
      </c>
      <c r="B574" s="288"/>
      <c r="D574" s="258" t="s">
        <v>70</v>
      </c>
      <c r="E574" s="289">
        <v>38990</v>
      </c>
      <c r="F574" s="289"/>
      <c r="G574" s="289"/>
      <c r="H574" s="289"/>
      <c r="I574" s="290" t="s">
        <v>205</v>
      </c>
      <c r="J574" s="290"/>
      <c r="K574" s="290"/>
      <c r="L574" s="47">
        <v>33</v>
      </c>
      <c r="M574" s="262">
        <v>0</v>
      </c>
      <c r="N574" s="47">
        <v>100</v>
      </c>
      <c r="O574" s="291">
        <v>0</v>
      </c>
      <c r="P574" s="291"/>
      <c r="Q574" s="291"/>
      <c r="R574" s="262">
        <v>0</v>
      </c>
      <c r="S574" s="262">
        <v>0</v>
      </c>
      <c r="U574" s="149">
        <f t="shared" si="50"/>
        <v>51035</v>
      </c>
      <c r="V574" s="146">
        <f t="shared" si="51"/>
        <v>11.25</v>
      </c>
      <c r="W574" s="150">
        <f t="shared" si="52"/>
        <v>21.75</v>
      </c>
      <c r="X574" s="146">
        <f t="shared" si="53"/>
        <v>21.75</v>
      </c>
    </row>
    <row r="575" spans="1:24" ht="9.75" customHeight="1" x14ac:dyDescent="0.25">
      <c r="A575" s="288">
        <v>707</v>
      </c>
      <c r="B575" s="288"/>
      <c r="D575" s="258" t="s">
        <v>70</v>
      </c>
      <c r="E575" s="289">
        <v>39080</v>
      </c>
      <c r="F575" s="289"/>
      <c r="G575" s="289"/>
      <c r="H575" s="289"/>
      <c r="I575" s="290" t="s">
        <v>324</v>
      </c>
      <c r="J575" s="290"/>
      <c r="K575" s="290"/>
      <c r="L575" s="47">
        <v>33</v>
      </c>
      <c r="M575" s="262">
        <v>105205.01000000001</v>
      </c>
      <c r="N575" s="47">
        <v>100</v>
      </c>
      <c r="O575" s="291">
        <v>53446.400000000001</v>
      </c>
      <c r="P575" s="291"/>
      <c r="Q575" s="291"/>
      <c r="R575" s="262">
        <v>4313.22</v>
      </c>
      <c r="S575" s="262">
        <v>57759.62</v>
      </c>
      <c r="U575" s="149">
        <f t="shared" ref="U575:U606" si="54">E575+(L575*365)</f>
        <v>51125</v>
      </c>
      <c r="V575" s="146">
        <f t="shared" ref="V575:V606" si="55">YEARFRAC(E575,$V$14)</f>
        <v>11.005555555555556</v>
      </c>
      <c r="W575" s="150">
        <f t="shared" ref="W575:W606" si="56">IF(V575&gt;L575,0,L575-V575)</f>
        <v>21.994444444444444</v>
      </c>
      <c r="X575" s="146">
        <f t="shared" ref="X575:X606" si="57">IF(W575=0,0,W575)</f>
        <v>21.994444444444444</v>
      </c>
    </row>
    <row r="576" spans="1:24" ht="9.75" customHeight="1" x14ac:dyDescent="0.25">
      <c r="A576" s="288">
        <v>729</v>
      </c>
      <c r="B576" s="288"/>
      <c r="D576" s="258" t="s">
        <v>70</v>
      </c>
      <c r="E576" s="289">
        <v>39212</v>
      </c>
      <c r="F576" s="289"/>
      <c r="G576" s="289"/>
      <c r="H576" s="289"/>
      <c r="I576" s="290" t="s">
        <v>205</v>
      </c>
      <c r="J576" s="290"/>
      <c r="K576" s="290"/>
      <c r="L576" s="47">
        <v>33</v>
      </c>
      <c r="M576" s="262">
        <v>8325.0300000000007</v>
      </c>
      <c r="N576" s="47">
        <v>100</v>
      </c>
      <c r="O576" s="291">
        <v>2438.61</v>
      </c>
      <c r="P576" s="291"/>
      <c r="Q576" s="291"/>
      <c r="R576" s="262">
        <v>252.27</v>
      </c>
      <c r="S576" s="262">
        <v>2690.88</v>
      </c>
      <c r="U576" s="149">
        <f t="shared" si="54"/>
        <v>51257</v>
      </c>
      <c r="V576" s="146">
        <f t="shared" si="55"/>
        <v>10.641666666666667</v>
      </c>
      <c r="W576" s="150">
        <f t="shared" si="56"/>
        <v>22.358333333333334</v>
      </c>
      <c r="X576" s="146">
        <f t="shared" si="57"/>
        <v>22.358333333333334</v>
      </c>
    </row>
    <row r="577" spans="1:24" ht="9.75" customHeight="1" x14ac:dyDescent="0.25">
      <c r="A577" s="288">
        <v>736</v>
      </c>
      <c r="B577" s="288"/>
      <c r="D577" s="258" t="s">
        <v>70</v>
      </c>
      <c r="E577" s="289">
        <v>39294</v>
      </c>
      <c r="F577" s="289"/>
      <c r="G577" s="289"/>
      <c r="H577" s="289"/>
      <c r="I577" s="290" t="s">
        <v>205</v>
      </c>
      <c r="J577" s="290"/>
      <c r="K577" s="290"/>
      <c r="L577" s="47">
        <v>33</v>
      </c>
      <c r="M577" s="262">
        <v>682.5</v>
      </c>
      <c r="N577" s="47">
        <v>100</v>
      </c>
      <c r="O577" s="291">
        <v>194.74</v>
      </c>
      <c r="P577" s="291"/>
      <c r="Q577" s="291"/>
      <c r="R577" s="262">
        <v>20.68</v>
      </c>
      <c r="S577" s="262">
        <v>215.42000000000002</v>
      </c>
      <c r="U577" s="149">
        <f t="shared" si="54"/>
        <v>51339</v>
      </c>
      <c r="V577" s="146">
        <f t="shared" si="55"/>
        <v>10.416666666666666</v>
      </c>
      <c r="W577" s="150">
        <f t="shared" si="56"/>
        <v>22.583333333333336</v>
      </c>
      <c r="X577" s="146">
        <f t="shared" si="57"/>
        <v>22.583333333333336</v>
      </c>
    </row>
    <row r="578" spans="1:24" ht="9.75" customHeight="1" x14ac:dyDescent="0.25">
      <c r="A578" s="288">
        <v>784</v>
      </c>
      <c r="B578" s="288"/>
      <c r="D578" s="258" t="s">
        <v>325</v>
      </c>
      <c r="E578" s="289">
        <v>39881</v>
      </c>
      <c r="F578" s="289"/>
      <c r="G578" s="289"/>
      <c r="H578" s="289"/>
      <c r="I578" s="290" t="s">
        <v>205</v>
      </c>
      <c r="J578" s="290"/>
      <c r="K578" s="290"/>
      <c r="L578" s="47">
        <v>33</v>
      </c>
      <c r="M578" s="262">
        <v>663.29</v>
      </c>
      <c r="N578" s="47">
        <v>100</v>
      </c>
      <c r="O578" s="291">
        <v>157.44999999999999</v>
      </c>
      <c r="P578" s="291"/>
      <c r="Q578" s="291"/>
      <c r="R578" s="262">
        <v>20.100000000000001</v>
      </c>
      <c r="S578" s="262">
        <v>177.55</v>
      </c>
      <c r="U578" s="149">
        <f t="shared" si="54"/>
        <v>51926</v>
      </c>
      <c r="V578" s="146">
        <f t="shared" si="55"/>
        <v>8.8111111111111118</v>
      </c>
      <c r="W578" s="150">
        <f t="shared" si="56"/>
        <v>24.18888888888889</v>
      </c>
      <c r="X578" s="146">
        <f t="shared" si="57"/>
        <v>24.18888888888889</v>
      </c>
    </row>
    <row r="579" spans="1:24" ht="9.75" customHeight="1" x14ac:dyDescent="0.25">
      <c r="A579" s="288">
        <v>788</v>
      </c>
      <c r="B579" s="288"/>
      <c r="D579" s="258" t="s">
        <v>70</v>
      </c>
      <c r="E579" s="289">
        <v>39933</v>
      </c>
      <c r="F579" s="289"/>
      <c r="G579" s="289"/>
      <c r="H579" s="289"/>
      <c r="I579" s="290" t="s">
        <v>205</v>
      </c>
      <c r="J579" s="290"/>
      <c r="K579" s="290"/>
      <c r="L579" s="47">
        <v>33</v>
      </c>
      <c r="M579" s="262">
        <v>468</v>
      </c>
      <c r="N579" s="47">
        <v>100</v>
      </c>
      <c r="O579" s="291">
        <v>108.71000000000001</v>
      </c>
      <c r="P579" s="291"/>
      <c r="Q579" s="291"/>
      <c r="R579" s="262">
        <v>14.18</v>
      </c>
      <c r="S579" s="262">
        <v>122.89</v>
      </c>
      <c r="U579" s="149">
        <f t="shared" si="54"/>
        <v>51978</v>
      </c>
      <c r="V579" s="146">
        <f t="shared" si="55"/>
        <v>8.6666666666666661</v>
      </c>
      <c r="W579" s="150">
        <f t="shared" si="56"/>
        <v>24.333333333333336</v>
      </c>
      <c r="X579" s="146">
        <f t="shared" si="57"/>
        <v>24.333333333333336</v>
      </c>
    </row>
    <row r="580" spans="1:24" ht="9.75" customHeight="1" x14ac:dyDescent="0.25">
      <c r="A580" s="288">
        <v>804</v>
      </c>
      <c r="B580" s="288"/>
      <c r="D580" s="258" t="s">
        <v>70</v>
      </c>
      <c r="E580" s="289">
        <v>40056</v>
      </c>
      <c r="F580" s="289"/>
      <c r="G580" s="289"/>
      <c r="H580" s="289"/>
      <c r="I580" s="290" t="s">
        <v>205</v>
      </c>
      <c r="J580" s="290"/>
      <c r="K580" s="290"/>
      <c r="L580" s="47">
        <v>33</v>
      </c>
      <c r="M580" s="262">
        <v>126</v>
      </c>
      <c r="N580" s="47">
        <v>100</v>
      </c>
      <c r="O580" s="291">
        <v>28.01</v>
      </c>
      <c r="P580" s="291"/>
      <c r="Q580" s="291"/>
      <c r="R580" s="262">
        <v>3.8200000000000003</v>
      </c>
      <c r="S580" s="262">
        <v>31.830000000000002</v>
      </c>
      <c r="U580" s="149">
        <f t="shared" si="54"/>
        <v>52101</v>
      </c>
      <c r="V580" s="146">
        <f t="shared" si="55"/>
        <v>8.3333333333333339</v>
      </c>
      <c r="W580" s="150">
        <f t="shared" si="56"/>
        <v>24.666666666666664</v>
      </c>
      <c r="X580" s="146">
        <f t="shared" si="57"/>
        <v>24.666666666666664</v>
      </c>
    </row>
    <row r="581" spans="1:24" ht="9.75" customHeight="1" x14ac:dyDescent="0.25">
      <c r="A581" s="288">
        <v>807</v>
      </c>
      <c r="B581" s="288"/>
      <c r="D581" s="258" t="s">
        <v>70</v>
      </c>
      <c r="E581" s="289">
        <v>40086</v>
      </c>
      <c r="F581" s="289"/>
      <c r="G581" s="289"/>
      <c r="H581" s="289"/>
      <c r="I581" s="290" t="s">
        <v>205</v>
      </c>
      <c r="J581" s="290"/>
      <c r="K581" s="290"/>
      <c r="L581" s="47">
        <v>33</v>
      </c>
      <c r="M581" s="262">
        <v>117</v>
      </c>
      <c r="N581" s="47">
        <v>100</v>
      </c>
      <c r="O581" s="291">
        <v>25.740000000000002</v>
      </c>
      <c r="P581" s="291"/>
      <c r="Q581" s="291"/>
      <c r="R581" s="262">
        <v>3.5500000000000003</v>
      </c>
      <c r="S581" s="262">
        <v>29.29</v>
      </c>
      <c r="U581" s="149">
        <f t="shared" si="54"/>
        <v>52131</v>
      </c>
      <c r="V581" s="146">
        <f t="shared" si="55"/>
        <v>8.25</v>
      </c>
      <c r="W581" s="150">
        <f t="shared" si="56"/>
        <v>24.75</v>
      </c>
      <c r="X581" s="146">
        <f t="shared" si="57"/>
        <v>24.75</v>
      </c>
    </row>
    <row r="582" spans="1:24" ht="9.75" customHeight="1" x14ac:dyDescent="0.25">
      <c r="A582" s="288">
        <v>812</v>
      </c>
      <c r="B582" s="288"/>
      <c r="D582" s="258" t="s">
        <v>70</v>
      </c>
      <c r="E582" s="289">
        <v>40117</v>
      </c>
      <c r="F582" s="289"/>
      <c r="G582" s="289"/>
      <c r="H582" s="289"/>
      <c r="I582" s="290" t="s">
        <v>205</v>
      </c>
      <c r="J582" s="290"/>
      <c r="K582" s="290"/>
      <c r="L582" s="47">
        <v>33</v>
      </c>
      <c r="M582" s="262">
        <v>306</v>
      </c>
      <c r="N582" s="47">
        <v>100</v>
      </c>
      <c r="O582" s="291">
        <v>66.44</v>
      </c>
      <c r="P582" s="291"/>
      <c r="Q582" s="291"/>
      <c r="R582" s="262">
        <v>9.27</v>
      </c>
      <c r="S582" s="262">
        <v>75.709999999999994</v>
      </c>
      <c r="U582" s="149">
        <f t="shared" si="54"/>
        <v>52162</v>
      </c>
      <c r="V582" s="146">
        <f t="shared" si="55"/>
        <v>8.1666666666666661</v>
      </c>
      <c r="W582" s="150">
        <f t="shared" si="56"/>
        <v>24.833333333333336</v>
      </c>
      <c r="X582" s="146">
        <f t="shared" si="57"/>
        <v>24.833333333333336</v>
      </c>
    </row>
    <row r="583" spans="1:24" ht="9.75" customHeight="1" x14ac:dyDescent="0.25">
      <c r="A583" s="288">
        <v>817</v>
      </c>
      <c r="B583" s="288"/>
      <c r="D583" s="258" t="s">
        <v>70</v>
      </c>
      <c r="E583" s="289">
        <v>40178</v>
      </c>
      <c r="F583" s="289"/>
      <c r="G583" s="289"/>
      <c r="H583" s="289"/>
      <c r="I583" s="290" t="s">
        <v>205</v>
      </c>
      <c r="J583" s="290"/>
      <c r="K583" s="290"/>
      <c r="L583" s="47">
        <v>33</v>
      </c>
      <c r="M583" s="262">
        <v>10024.120000000001</v>
      </c>
      <c r="N583" s="47">
        <v>100</v>
      </c>
      <c r="O583" s="291">
        <v>2126.3200000000002</v>
      </c>
      <c r="P583" s="291"/>
      <c r="Q583" s="291"/>
      <c r="R583" s="262">
        <v>303.76</v>
      </c>
      <c r="S583" s="262">
        <v>2430.08</v>
      </c>
      <c r="U583" s="149">
        <f t="shared" si="54"/>
        <v>52223</v>
      </c>
      <c r="V583" s="146">
        <f t="shared" si="55"/>
        <v>8</v>
      </c>
      <c r="W583" s="150">
        <f t="shared" si="56"/>
        <v>25</v>
      </c>
      <c r="X583" s="146">
        <f t="shared" si="57"/>
        <v>25</v>
      </c>
    </row>
    <row r="584" spans="1:24" ht="9.75" customHeight="1" x14ac:dyDescent="0.25">
      <c r="A584" s="288">
        <v>822</v>
      </c>
      <c r="B584" s="288"/>
      <c r="D584" s="258" t="s">
        <v>70</v>
      </c>
      <c r="E584" s="289">
        <v>40209</v>
      </c>
      <c r="F584" s="289"/>
      <c r="G584" s="289"/>
      <c r="H584" s="289"/>
      <c r="I584" s="290" t="s">
        <v>205</v>
      </c>
      <c r="J584" s="290"/>
      <c r="K584" s="290"/>
      <c r="L584" s="47">
        <v>33</v>
      </c>
      <c r="M584" s="262">
        <v>695.57</v>
      </c>
      <c r="N584" s="47">
        <v>100</v>
      </c>
      <c r="O584" s="291">
        <v>145.80000000000001</v>
      </c>
      <c r="P584" s="291"/>
      <c r="Q584" s="291"/>
      <c r="R584" s="262">
        <v>21.080000000000002</v>
      </c>
      <c r="S584" s="262">
        <v>166.88</v>
      </c>
      <c r="U584" s="149">
        <f t="shared" si="54"/>
        <v>52254</v>
      </c>
      <c r="V584" s="146">
        <f t="shared" si="55"/>
        <v>7.916666666666667</v>
      </c>
      <c r="W584" s="150">
        <f t="shared" si="56"/>
        <v>25.083333333333332</v>
      </c>
      <c r="X584" s="146">
        <f t="shared" si="57"/>
        <v>25.083333333333332</v>
      </c>
    </row>
    <row r="585" spans="1:24" ht="9.75" customHeight="1" x14ac:dyDescent="0.25">
      <c r="A585" s="288">
        <v>825</v>
      </c>
      <c r="B585" s="288"/>
      <c r="D585" s="258" t="s">
        <v>70</v>
      </c>
      <c r="E585" s="289">
        <v>40237</v>
      </c>
      <c r="F585" s="289"/>
      <c r="G585" s="289"/>
      <c r="H585" s="289"/>
      <c r="I585" s="290" t="s">
        <v>205</v>
      </c>
      <c r="J585" s="290"/>
      <c r="K585" s="290"/>
      <c r="L585" s="47">
        <v>33</v>
      </c>
      <c r="M585" s="262">
        <v>695.57</v>
      </c>
      <c r="N585" s="47">
        <v>100</v>
      </c>
      <c r="O585" s="291">
        <v>144.05000000000001</v>
      </c>
      <c r="P585" s="291"/>
      <c r="Q585" s="291"/>
      <c r="R585" s="262">
        <v>21.080000000000002</v>
      </c>
      <c r="S585" s="262">
        <v>165.13</v>
      </c>
      <c r="U585" s="149">
        <f t="shared" si="54"/>
        <v>52282</v>
      </c>
      <c r="V585" s="146">
        <f t="shared" si="55"/>
        <v>7.8361111111111112</v>
      </c>
      <c r="W585" s="150">
        <f t="shared" si="56"/>
        <v>25.163888888888888</v>
      </c>
      <c r="X585" s="146">
        <f t="shared" si="57"/>
        <v>25.163888888888888</v>
      </c>
    </row>
    <row r="586" spans="1:24" ht="9.75" customHeight="1" x14ac:dyDescent="0.25">
      <c r="A586" s="288">
        <v>829</v>
      </c>
      <c r="B586" s="288"/>
      <c r="D586" s="258" t="s">
        <v>70</v>
      </c>
      <c r="E586" s="289">
        <v>40268</v>
      </c>
      <c r="F586" s="289"/>
      <c r="G586" s="289"/>
      <c r="H586" s="289"/>
      <c r="I586" s="290" t="s">
        <v>205</v>
      </c>
      <c r="J586" s="290"/>
      <c r="K586" s="290"/>
      <c r="L586" s="47">
        <v>33</v>
      </c>
      <c r="M586" s="262">
        <v>695.57</v>
      </c>
      <c r="N586" s="47">
        <v>100</v>
      </c>
      <c r="O586" s="291">
        <v>142.29</v>
      </c>
      <c r="P586" s="291"/>
      <c r="Q586" s="291"/>
      <c r="R586" s="262">
        <v>21.080000000000002</v>
      </c>
      <c r="S586" s="262">
        <v>163.37</v>
      </c>
      <c r="U586" s="149">
        <f t="shared" si="54"/>
        <v>52313</v>
      </c>
      <c r="V586" s="146">
        <f t="shared" si="55"/>
        <v>7.75</v>
      </c>
      <c r="W586" s="150">
        <f t="shared" si="56"/>
        <v>25.25</v>
      </c>
      <c r="X586" s="146">
        <f t="shared" si="57"/>
        <v>25.25</v>
      </c>
    </row>
    <row r="587" spans="1:24" ht="9.75" customHeight="1" x14ac:dyDescent="0.25">
      <c r="A587" s="288">
        <v>834</v>
      </c>
      <c r="B587" s="288"/>
      <c r="D587" s="258" t="s">
        <v>70</v>
      </c>
      <c r="E587" s="289">
        <v>40298</v>
      </c>
      <c r="F587" s="289"/>
      <c r="G587" s="289"/>
      <c r="H587" s="289"/>
      <c r="I587" s="290" t="s">
        <v>205</v>
      </c>
      <c r="J587" s="290"/>
      <c r="K587" s="290"/>
      <c r="L587" s="47">
        <v>33</v>
      </c>
      <c r="M587" s="262">
        <v>695.57</v>
      </c>
      <c r="N587" s="47">
        <v>100</v>
      </c>
      <c r="O587" s="291">
        <v>140.53</v>
      </c>
      <c r="P587" s="291"/>
      <c r="Q587" s="291"/>
      <c r="R587" s="262">
        <v>21.080000000000002</v>
      </c>
      <c r="S587" s="262">
        <v>161.61000000000001</v>
      </c>
      <c r="U587" s="149">
        <f t="shared" si="54"/>
        <v>52343</v>
      </c>
      <c r="V587" s="146">
        <f t="shared" si="55"/>
        <v>7.666666666666667</v>
      </c>
      <c r="W587" s="150">
        <f t="shared" si="56"/>
        <v>25.333333333333332</v>
      </c>
      <c r="X587" s="146">
        <f t="shared" si="57"/>
        <v>25.333333333333332</v>
      </c>
    </row>
    <row r="588" spans="1:24" ht="9.75" customHeight="1" x14ac:dyDescent="0.25">
      <c r="A588" s="288">
        <v>837</v>
      </c>
      <c r="B588" s="288"/>
      <c r="D588" s="258" t="s">
        <v>70</v>
      </c>
      <c r="E588" s="289">
        <v>40329</v>
      </c>
      <c r="F588" s="289"/>
      <c r="G588" s="289"/>
      <c r="H588" s="289"/>
      <c r="I588" s="290" t="s">
        <v>205</v>
      </c>
      <c r="J588" s="290"/>
      <c r="K588" s="290"/>
      <c r="L588" s="47">
        <v>33</v>
      </c>
      <c r="M588" s="262">
        <v>782.1</v>
      </c>
      <c r="N588" s="47">
        <v>100</v>
      </c>
      <c r="O588" s="291">
        <v>156.02000000000001</v>
      </c>
      <c r="P588" s="291"/>
      <c r="Q588" s="291"/>
      <c r="R588" s="262">
        <v>23.7</v>
      </c>
      <c r="S588" s="262">
        <v>179.72</v>
      </c>
      <c r="U588" s="149">
        <f t="shared" si="54"/>
        <v>52374</v>
      </c>
      <c r="V588" s="146">
        <f t="shared" si="55"/>
        <v>7.583333333333333</v>
      </c>
      <c r="W588" s="150">
        <f t="shared" si="56"/>
        <v>25.416666666666668</v>
      </c>
      <c r="X588" s="146">
        <f t="shared" si="57"/>
        <v>25.416666666666668</v>
      </c>
    </row>
    <row r="589" spans="1:24" ht="9.75" customHeight="1" x14ac:dyDescent="0.25">
      <c r="A589" s="288">
        <v>841</v>
      </c>
      <c r="B589" s="288"/>
      <c r="D589" s="258" t="s">
        <v>70</v>
      </c>
      <c r="E589" s="289">
        <v>40359</v>
      </c>
      <c r="F589" s="289"/>
      <c r="G589" s="289"/>
      <c r="H589" s="289"/>
      <c r="I589" s="290" t="s">
        <v>205</v>
      </c>
      <c r="J589" s="290"/>
      <c r="K589" s="290"/>
      <c r="L589" s="47">
        <v>33</v>
      </c>
      <c r="M589" s="262">
        <v>1173.1500000000001</v>
      </c>
      <c r="N589" s="47">
        <v>100</v>
      </c>
      <c r="O589" s="291">
        <v>231.08</v>
      </c>
      <c r="P589" s="291"/>
      <c r="Q589" s="291"/>
      <c r="R589" s="262">
        <v>35.549999999999997</v>
      </c>
      <c r="S589" s="262">
        <v>266.63</v>
      </c>
      <c r="U589" s="149">
        <f t="shared" si="54"/>
        <v>52404</v>
      </c>
      <c r="V589" s="146">
        <f t="shared" si="55"/>
        <v>7.5</v>
      </c>
      <c r="W589" s="150">
        <f t="shared" si="56"/>
        <v>25.5</v>
      </c>
      <c r="X589" s="146">
        <f t="shared" si="57"/>
        <v>25.5</v>
      </c>
    </row>
    <row r="590" spans="1:24" ht="9.75" customHeight="1" x14ac:dyDescent="0.25">
      <c r="A590" s="288">
        <v>848</v>
      </c>
      <c r="B590" s="288"/>
      <c r="D590" s="258" t="s">
        <v>70</v>
      </c>
      <c r="E590" s="289">
        <v>40421</v>
      </c>
      <c r="F590" s="289"/>
      <c r="G590" s="289"/>
      <c r="H590" s="289"/>
      <c r="I590" s="290" t="s">
        <v>205</v>
      </c>
      <c r="J590" s="290"/>
      <c r="K590" s="290"/>
      <c r="L590" s="47">
        <v>33</v>
      </c>
      <c r="M590" s="262">
        <v>782.1</v>
      </c>
      <c r="N590" s="47">
        <v>100</v>
      </c>
      <c r="O590" s="291">
        <v>150.1</v>
      </c>
      <c r="P590" s="291"/>
      <c r="Q590" s="291"/>
      <c r="R590" s="262">
        <v>23.7</v>
      </c>
      <c r="S590" s="262">
        <v>173.8</v>
      </c>
      <c r="U590" s="149">
        <f t="shared" si="54"/>
        <v>52466</v>
      </c>
      <c r="V590" s="146">
        <f t="shared" si="55"/>
        <v>7.333333333333333</v>
      </c>
      <c r="W590" s="150">
        <f t="shared" si="56"/>
        <v>25.666666666666668</v>
      </c>
      <c r="X590" s="146">
        <f t="shared" si="57"/>
        <v>25.666666666666668</v>
      </c>
    </row>
    <row r="591" spans="1:24" ht="9.75" customHeight="1" x14ac:dyDescent="0.25">
      <c r="A591" s="288">
        <v>883</v>
      </c>
      <c r="B591" s="288"/>
      <c r="D591" s="258" t="s">
        <v>70</v>
      </c>
      <c r="E591" s="289">
        <v>40574</v>
      </c>
      <c r="F591" s="289"/>
      <c r="G591" s="289"/>
      <c r="H591" s="289"/>
      <c r="I591" s="290" t="s">
        <v>205</v>
      </c>
      <c r="J591" s="290"/>
      <c r="K591" s="290"/>
      <c r="L591" s="47">
        <v>33</v>
      </c>
      <c r="M591" s="262">
        <v>796.05000000000007</v>
      </c>
      <c r="N591" s="47">
        <v>100</v>
      </c>
      <c r="O591" s="291">
        <v>142.71</v>
      </c>
      <c r="P591" s="291"/>
      <c r="Q591" s="291"/>
      <c r="R591" s="262">
        <v>24.12</v>
      </c>
      <c r="S591" s="262">
        <v>166.83</v>
      </c>
      <c r="U591" s="149">
        <f t="shared" si="54"/>
        <v>52619</v>
      </c>
      <c r="V591" s="146">
        <f t="shared" si="55"/>
        <v>6.916666666666667</v>
      </c>
      <c r="W591" s="150">
        <f t="shared" si="56"/>
        <v>26.083333333333332</v>
      </c>
      <c r="X591" s="146">
        <f t="shared" si="57"/>
        <v>26.083333333333332</v>
      </c>
    </row>
    <row r="592" spans="1:24" ht="9.75" customHeight="1" x14ac:dyDescent="0.25">
      <c r="A592" s="288">
        <v>887</v>
      </c>
      <c r="B592" s="288"/>
      <c r="D592" s="258" t="s">
        <v>326</v>
      </c>
      <c r="E592" s="289">
        <v>40602</v>
      </c>
      <c r="F592" s="289"/>
      <c r="G592" s="289"/>
      <c r="H592" s="289"/>
      <c r="I592" s="290" t="s">
        <v>205</v>
      </c>
      <c r="J592" s="290"/>
      <c r="K592" s="290"/>
      <c r="L592" s="47">
        <v>33</v>
      </c>
      <c r="M592" s="262">
        <v>796.05000000000007</v>
      </c>
      <c r="N592" s="47">
        <v>100</v>
      </c>
      <c r="O592" s="291">
        <v>140.69999999999999</v>
      </c>
      <c r="P592" s="291"/>
      <c r="Q592" s="291"/>
      <c r="R592" s="262">
        <v>24.12</v>
      </c>
      <c r="S592" s="262">
        <v>164.82</v>
      </c>
      <c r="U592" s="149">
        <f t="shared" si="54"/>
        <v>52647</v>
      </c>
      <c r="V592" s="146">
        <f t="shared" si="55"/>
        <v>6.8361111111111112</v>
      </c>
      <c r="W592" s="150">
        <f t="shared" si="56"/>
        <v>26.163888888888888</v>
      </c>
      <c r="X592" s="146">
        <f t="shared" si="57"/>
        <v>26.163888888888888</v>
      </c>
    </row>
    <row r="593" spans="1:24" ht="9.75" customHeight="1" x14ac:dyDescent="0.25">
      <c r="A593" s="288">
        <v>891</v>
      </c>
      <c r="B593" s="288"/>
      <c r="D593" s="258" t="s">
        <v>326</v>
      </c>
      <c r="E593" s="289">
        <v>40633</v>
      </c>
      <c r="F593" s="289"/>
      <c r="G593" s="289"/>
      <c r="H593" s="289"/>
      <c r="I593" s="290" t="s">
        <v>205</v>
      </c>
      <c r="J593" s="290"/>
      <c r="K593" s="290"/>
      <c r="L593" s="47">
        <v>33</v>
      </c>
      <c r="M593" s="262">
        <v>796.05000000000007</v>
      </c>
      <c r="N593" s="47">
        <v>100</v>
      </c>
      <c r="O593" s="291">
        <v>138.69</v>
      </c>
      <c r="P593" s="291"/>
      <c r="Q593" s="291"/>
      <c r="R593" s="262">
        <v>24.12</v>
      </c>
      <c r="S593" s="262">
        <v>162.81</v>
      </c>
      <c r="U593" s="149">
        <f t="shared" si="54"/>
        <v>52678</v>
      </c>
      <c r="V593" s="146">
        <f t="shared" si="55"/>
        <v>6.75</v>
      </c>
      <c r="W593" s="150">
        <f t="shared" si="56"/>
        <v>26.25</v>
      </c>
      <c r="X593" s="146">
        <f t="shared" si="57"/>
        <v>26.25</v>
      </c>
    </row>
    <row r="594" spans="1:24" ht="9.75" customHeight="1" x14ac:dyDescent="0.25">
      <c r="A594" s="288">
        <v>895</v>
      </c>
      <c r="B594" s="288"/>
      <c r="D594" s="258" t="s">
        <v>326</v>
      </c>
      <c r="E594" s="289">
        <v>40663</v>
      </c>
      <c r="F594" s="289"/>
      <c r="G594" s="289"/>
      <c r="H594" s="289"/>
      <c r="I594" s="290" t="s">
        <v>205</v>
      </c>
      <c r="J594" s="290"/>
      <c r="K594" s="290"/>
      <c r="L594" s="47">
        <v>33</v>
      </c>
      <c r="M594" s="262">
        <v>796.05000000000007</v>
      </c>
      <c r="N594" s="47">
        <v>100</v>
      </c>
      <c r="O594" s="291">
        <v>136.68</v>
      </c>
      <c r="P594" s="291"/>
      <c r="Q594" s="291"/>
      <c r="R594" s="262">
        <v>24.12</v>
      </c>
      <c r="S594" s="262">
        <v>160.80000000000001</v>
      </c>
      <c r="U594" s="149">
        <f t="shared" si="54"/>
        <v>52708</v>
      </c>
      <c r="V594" s="146">
        <f t="shared" si="55"/>
        <v>6.666666666666667</v>
      </c>
      <c r="W594" s="150">
        <f t="shared" si="56"/>
        <v>26.333333333333332</v>
      </c>
      <c r="X594" s="146">
        <f t="shared" si="57"/>
        <v>26.333333333333332</v>
      </c>
    </row>
    <row r="595" spans="1:24" ht="9.75" customHeight="1" x14ac:dyDescent="0.25">
      <c r="A595" s="288">
        <v>901</v>
      </c>
      <c r="B595" s="288"/>
      <c r="D595" s="258" t="s">
        <v>326</v>
      </c>
      <c r="E595" s="289">
        <v>40694</v>
      </c>
      <c r="F595" s="289"/>
      <c r="G595" s="289"/>
      <c r="H595" s="289"/>
      <c r="I595" s="290" t="s">
        <v>205</v>
      </c>
      <c r="J595" s="290"/>
      <c r="K595" s="290"/>
      <c r="L595" s="47">
        <v>33</v>
      </c>
      <c r="M595" s="262">
        <v>796.05000000000007</v>
      </c>
      <c r="N595" s="47">
        <v>100</v>
      </c>
      <c r="O595" s="291">
        <v>134.66999999999999</v>
      </c>
      <c r="P595" s="291"/>
      <c r="Q595" s="291"/>
      <c r="R595" s="262">
        <v>24.12</v>
      </c>
      <c r="S595" s="262">
        <v>158.79</v>
      </c>
      <c r="U595" s="149">
        <f t="shared" si="54"/>
        <v>52739</v>
      </c>
      <c r="V595" s="146">
        <f t="shared" si="55"/>
        <v>6.583333333333333</v>
      </c>
      <c r="W595" s="150">
        <f t="shared" si="56"/>
        <v>26.416666666666668</v>
      </c>
      <c r="X595" s="146">
        <f t="shared" si="57"/>
        <v>26.416666666666668</v>
      </c>
    </row>
    <row r="596" spans="1:24" ht="9.75" customHeight="1" x14ac:dyDescent="0.25">
      <c r="A596" s="288">
        <v>904</v>
      </c>
      <c r="B596" s="288"/>
      <c r="D596" s="258" t="s">
        <v>326</v>
      </c>
      <c r="E596" s="289">
        <v>40724</v>
      </c>
      <c r="F596" s="289"/>
      <c r="G596" s="289"/>
      <c r="H596" s="289"/>
      <c r="I596" s="290" t="s">
        <v>205</v>
      </c>
      <c r="J596" s="290"/>
      <c r="K596" s="290"/>
      <c r="L596" s="47">
        <v>33</v>
      </c>
      <c r="M596" s="262">
        <v>1194.07</v>
      </c>
      <c r="N596" s="47">
        <v>100</v>
      </c>
      <c r="O596" s="291">
        <v>198.99</v>
      </c>
      <c r="P596" s="291"/>
      <c r="Q596" s="291"/>
      <c r="R596" s="262">
        <v>36.18</v>
      </c>
      <c r="S596" s="262">
        <v>235.17000000000002</v>
      </c>
      <c r="U596" s="149">
        <f t="shared" si="54"/>
        <v>52769</v>
      </c>
      <c r="V596" s="146">
        <f t="shared" si="55"/>
        <v>6.5</v>
      </c>
      <c r="W596" s="150">
        <f t="shared" si="56"/>
        <v>26.5</v>
      </c>
      <c r="X596" s="146">
        <f t="shared" si="57"/>
        <v>26.5</v>
      </c>
    </row>
    <row r="597" spans="1:24" ht="9.75" customHeight="1" x14ac:dyDescent="0.25">
      <c r="A597" s="288">
        <v>909</v>
      </c>
      <c r="B597" s="288"/>
      <c r="D597" s="258" t="s">
        <v>326</v>
      </c>
      <c r="E597" s="289">
        <v>40755</v>
      </c>
      <c r="F597" s="289"/>
      <c r="G597" s="289"/>
      <c r="H597" s="289"/>
      <c r="I597" s="290" t="s">
        <v>205</v>
      </c>
      <c r="J597" s="290"/>
      <c r="K597" s="290"/>
      <c r="L597" s="47">
        <v>33</v>
      </c>
      <c r="M597" s="262">
        <v>796.05000000000007</v>
      </c>
      <c r="N597" s="47">
        <v>100</v>
      </c>
      <c r="O597" s="291">
        <v>130.65</v>
      </c>
      <c r="P597" s="291"/>
      <c r="Q597" s="291"/>
      <c r="R597" s="262">
        <v>24.12</v>
      </c>
      <c r="S597" s="262">
        <v>154.77000000000001</v>
      </c>
      <c r="U597" s="149">
        <f t="shared" si="54"/>
        <v>52800</v>
      </c>
      <c r="V597" s="146">
        <f t="shared" si="55"/>
        <v>6.416666666666667</v>
      </c>
      <c r="W597" s="150">
        <f t="shared" si="56"/>
        <v>26.583333333333332</v>
      </c>
      <c r="X597" s="146">
        <f t="shared" si="57"/>
        <v>26.583333333333332</v>
      </c>
    </row>
    <row r="598" spans="1:24" ht="9.75" customHeight="1" x14ac:dyDescent="0.25">
      <c r="A598" s="288">
        <v>913</v>
      </c>
      <c r="B598" s="288"/>
      <c r="D598" s="258" t="s">
        <v>326</v>
      </c>
      <c r="E598" s="289">
        <v>40786</v>
      </c>
      <c r="F598" s="289"/>
      <c r="G598" s="289"/>
      <c r="H598" s="289"/>
      <c r="I598" s="290" t="s">
        <v>205</v>
      </c>
      <c r="J598" s="290"/>
      <c r="K598" s="290"/>
      <c r="L598" s="47">
        <v>33</v>
      </c>
      <c r="M598" s="262">
        <v>796.05000000000007</v>
      </c>
      <c r="N598" s="47">
        <v>100</v>
      </c>
      <c r="O598" s="291">
        <v>128.63999999999999</v>
      </c>
      <c r="P598" s="291"/>
      <c r="Q598" s="291"/>
      <c r="R598" s="262">
        <v>24.12</v>
      </c>
      <c r="S598" s="262">
        <v>152.76</v>
      </c>
      <c r="U598" s="149">
        <f t="shared" si="54"/>
        <v>52831</v>
      </c>
      <c r="V598" s="146">
        <f t="shared" si="55"/>
        <v>6.333333333333333</v>
      </c>
      <c r="W598" s="150">
        <f t="shared" si="56"/>
        <v>26.666666666666668</v>
      </c>
      <c r="X598" s="146">
        <f t="shared" si="57"/>
        <v>26.666666666666668</v>
      </c>
    </row>
    <row r="599" spans="1:24" ht="9.75" customHeight="1" x14ac:dyDescent="0.25">
      <c r="A599" s="288">
        <v>918</v>
      </c>
      <c r="B599" s="288"/>
      <c r="D599" s="258" t="s">
        <v>326</v>
      </c>
      <c r="E599" s="289">
        <v>40793</v>
      </c>
      <c r="F599" s="289"/>
      <c r="G599" s="289"/>
      <c r="H599" s="289"/>
      <c r="I599" s="290" t="s">
        <v>205</v>
      </c>
      <c r="J599" s="290"/>
      <c r="K599" s="290"/>
      <c r="L599" s="47">
        <v>33</v>
      </c>
      <c r="M599" s="262">
        <v>3210</v>
      </c>
      <c r="N599" s="47">
        <v>100</v>
      </c>
      <c r="O599" s="291">
        <v>518.77</v>
      </c>
      <c r="P599" s="291"/>
      <c r="Q599" s="291"/>
      <c r="R599" s="262">
        <v>97.27</v>
      </c>
      <c r="S599" s="262">
        <v>616.04</v>
      </c>
      <c r="U599" s="149">
        <f t="shared" si="54"/>
        <v>52838</v>
      </c>
      <c r="V599" s="146">
        <f t="shared" si="55"/>
        <v>6.3166666666666664</v>
      </c>
      <c r="W599" s="150">
        <f t="shared" si="56"/>
        <v>26.683333333333334</v>
      </c>
      <c r="X599" s="146">
        <f t="shared" si="57"/>
        <v>26.683333333333334</v>
      </c>
    </row>
    <row r="600" spans="1:24" ht="9.75" customHeight="1" x14ac:dyDescent="0.25">
      <c r="A600" s="288">
        <v>919</v>
      </c>
      <c r="B600" s="288"/>
      <c r="D600" s="258" t="s">
        <v>326</v>
      </c>
      <c r="E600" s="289">
        <v>40816</v>
      </c>
      <c r="F600" s="289"/>
      <c r="G600" s="289"/>
      <c r="H600" s="289"/>
      <c r="I600" s="290" t="s">
        <v>205</v>
      </c>
      <c r="J600" s="290"/>
      <c r="K600" s="290"/>
      <c r="L600" s="47">
        <v>33</v>
      </c>
      <c r="M600" s="262">
        <v>796.05000000000007</v>
      </c>
      <c r="N600" s="47">
        <v>100</v>
      </c>
      <c r="O600" s="291">
        <v>126.63000000000001</v>
      </c>
      <c r="P600" s="291"/>
      <c r="Q600" s="291"/>
      <c r="R600" s="262">
        <v>24.12</v>
      </c>
      <c r="S600" s="262">
        <v>150.75</v>
      </c>
      <c r="U600" s="149">
        <f t="shared" si="54"/>
        <v>52861</v>
      </c>
      <c r="V600" s="146">
        <f t="shared" si="55"/>
        <v>6.25</v>
      </c>
      <c r="W600" s="150">
        <f t="shared" si="56"/>
        <v>26.75</v>
      </c>
      <c r="X600" s="146">
        <f t="shared" si="57"/>
        <v>26.75</v>
      </c>
    </row>
    <row r="601" spans="1:24" ht="9.75" customHeight="1" x14ac:dyDescent="0.25">
      <c r="A601" s="288">
        <v>923</v>
      </c>
      <c r="B601" s="288"/>
      <c r="D601" s="258" t="s">
        <v>326</v>
      </c>
      <c r="E601" s="289">
        <v>40847</v>
      </c>
      <c r="F601" s="289"/>
      <c r="G601" s="289"/>
      <c r="H601" s="289"/>
      <c r="I601" s="290" t="s">
        <v>205</v>
      </c>
      <c r="J601" s="290"/>
      <c r="K601" s="290"/>
      <c r="L601" s="47">
        <v>33</v>
      </c>
      <c r="M601" s="262">
        <v>795.05000000000007</v>
      </c>
      <c r="N601" s="47">
        <v>100</v>
      </c>
      <c r="O601" s="291">
        <v>124.47</v>
      </c>
      <c r="P601" s="291"/>
      <c r="Q601" s="291"/>
      <c r="R601" s="262">
        <v>24.09</v>
      </c>
      <c r="S601" s="262">
        <v>148.56</v>
      </c>
      <c r="U601" s="149">
        <f t="shared" si="54"/>
        <v>52892</v>
      </c>
      <c r="V601" s="146">
        <f t="shared" si="55"/>
        <v>6.166666666666667</v>
      </c>
      <c r="W601" s="150">
        <f t="shared" si="56"/>
        <v>26.833333333333332</v>
      </c>
      <c r="X601" s="146">
        <f t="shared" si="57"/>
        <v>26.833333333333332</v>
      </c>
    </row>
    <row r="602" spans="1:24" ht="9.75" customHeight="1" x14ac:dyDescent="0.25">
      <c r="A602" s="288">
        <v>927</v>
      </c>
      <c r="B602" s="288"/>
      <c r="D602" s="258" t="s">
        <v>326</v>
      </c>
      <c r="E602" s="289">
        <v>40877</v>
      </c>
      <c r="F602" s="289"/>
      <c r="G602" s="289"/>
      <c r="H602" s="289"/>
      <c r="I602" s="290" t="s">
        <v>205</v>
      </c>
      <c r="J602" s="290"/>
      <c r="K602" s="290"/>
      <c r="L602" s="47">
        <v>33</v>
      </c>
      <c r="M602" s="262">
        <v>1194.07</v>
      </c>
      <c r="N602" s="47">
        <v>100</v>
      </c>
      <c r="O602" s="291">
        <v>183.91</v>
      </c>
      <c r="P602" s="291"/>
      <c r="Q602" s="291"/>
      <c r="R602" s="262">
        <v>36.18</v>
      </c>
      <c r="S602" s="262">
        <v>220.09</v>
      </c>
      <c r="U602" s="149">
        <f t="shared" si="54"/>
        <v>52922</v>
      </c>
      <c r="V602" s="146">
        <f t="shared" si="55"/>
        <v>6.083333333333333</v>
      </c>
      <c r="W602" s="150">
        <f t="shared" si="56"/>
        <v>26.916666666666668</v>
      </c>
      <c r="X602" s="146">
        <f t="shared" si="57"/>
        <v>26.916666666666668</v>
      </c>
    </row>
    <row r="603" spans="1:24" ht="9.75" customHeight="1" x14ac:dyDescent="0.25">
      <c r="A603" s="288">
        <v>932</v>
      </c>
      <c r="B603" s="288"/>
      <c r="D603" s="258" t="s">
        <v>326</v>
      </c>
      <c r="E603" s="289">
        <v>40908</v>
      </c>
      <c r="F603" s="289"/>
      <c r="G603" s="289"/>
      <c r="H603" s="289"/>
      <c r="I603" s="290" t="s">
        <v>205</v>
      </c>
      <c r="J603" s="290"/>
      <c r="K603" s="290"/>
      <c r="L603" s="47">
        <v>33</v>
      </c>
      <c r="M603" s="262">
        <v>1921.05</v>
      </c>
      <c r="N603" s="47">
        <v>100</v>
      </c>
      <c r="O603" s="291">
        <v>291.05</v>
      </c>
      <c r="P603" s="291"/>
      <c r="Q603" s="291"/>
      <c r="R603" s="262">
        <v>58.21</v>
      </c>
      <c r="S603" s="262">
        <v>349.26</v>
      </c>
      <c r="U603" s="149">
        <f t="shared" si="54"/>
        <v>52953</v>
      </c>
      <c r="V603" s="146">
        <f t="shared" si="55"/>
        <v>6</v>
      </c>
      <c r="W603" s="150">
        <f t="shared" si="56"/>
        <v>27</v>
      </c>
      <c r="X603" s="146">
        <f t="shared" si="57"/>
        <v>27</v>
      </c>
    </row>
    <row r="604" spans="1:24" ht="9.75" customHeight="1" x14ac:dyDescent="0.25">
      <c r="A604" s="288">
        <v>936</v>
      </c>
      <c r="B604" s="288"/>
      <c r="D604" s="258" t="s">
        <v>326</v>
      </c>
      <c r="E604" s="289">
        <v>40939</v>
      </c>
      <c r="F604" s="289"/>
      <c r="G604" s="289"/>
      <c r="H604" s="289"/>
      <c r="I604" s="290" t="s">
        <v>205</v>
      </c>
      <c r="J604" s="290"/>
      <c r="K604" s="290"/>
      <c r="L604" s="47">
        <v>33</v>
      </c>
      <c r="M604" s="262">
        <v>810.41</v>
      </c>
      <c r="N604" s="47">
        <v>100</v>
      </c>
      <c r="O604" s="291">
        <v>120.75</v>
      </c>
      <c r="P604" s="291"/>
      <c r="Q604" s="291"/>
      <c r="R604" s="262">
        <v>24.560000000000002</v>
      </c>
      <c r="S604" s="262">
        <v>145.31</v>
      </c>
      <c r="U604" s="149">
        <f t="shared" si="54"/>
        <v>52984</v>
      </c>
      <c r="V604" s="146">
        <f t="shared" si="55"/>
        <v>5.916666666666667</v>
      </c>
      <c r="W604" s="150">
        <f t="shared" si="56"/>
        <v>27.083333333333332</v>
      </c>
      <c r="X604" s="146">
        <f t="shared" si="57"/>
        <v>27.083333333333332</v>
      </c>
    </row>
    <row r="605" spans="1:24" ht="9.75" customHeight="1" x14ac:dyDescent="0.25">
      <c r="A605" s="288">
        <v>939</v>
      </c>
      <c r="B605" s="288"/>
      <c r="D605" s="258" t="s">
        <v>326</v>
      </c>
      <c r="E605" s="289">
        <v>40968</v>
      </c>
      <c r="F605" s="289"/>
      <c r="G605" s="289"/>
      <c r="H605" s="289"/>
      <c r="I605" s="290" t="s">
        <v>205</v>
      </c>
      <c r="J605" s="290"/>
      <c r="K605" s="290"/>
      <c r="L605" s="47">
        <v>33</v>
      </c>
      <c r="M605" s="262">
        <v>810.41</v>
      </c>
      <c r="N605" s="47">
        <v>100</v>
      </c>
      <c r="O605" s="291">
        <v>118.71000000000001</v>
      </c>
      <c r="P605" s="291"/>
      <c r="Q605" s="291"/>
      <c r="R605" s="262">
        <v>24.560000000000002</v>
      </c>
      <c r="S605" s="262">
        <v>143.27000000000001</v>
      </c>
      <c r="U605" s="149">
        <f t="shared" si="54"/>
        <v>53013</v>
      </c>
      <c r="V605" s="146">
        <f t="shared" si="55"/>
        <v>5.8361111111111112</v>
      </c>
      <c r="W605" s="150">
        <f t="shared" si="56"/>
        <v>27.163888888888888</v>
      </c>
      <c r="X605" s="146">
        <f t="shared" si="57"/>
        <v>27.163888888888888</v>
      </c>
    </row>
    <row r="606" spans="1:24" ht="9.75" customHeight="1" x14ac:dyDescent="0.25">
      <c r="A606" s="288">
        <v>943</v>
      </c>
      <c r="B606" s="288"/>
      <c r="D606" s="258" t="s">
        <v>326</v>
      </c>
      <c r="E606" s="289">
        <v>40999</v>
      </c>
      <c r="F606" s="289"/>
      <c r="G606" s="289"/>
      <c r="H606" s="289"/>
      <c r="I606" s="290" t="s">
        <v>205</v>
      </c>
      <c r="J606" s="290"/>
      <c r="K606" s="290"/>
      <c r="L606" s="47">
        <v>33</v>
      </c>
      <c r="M606" s="262">
        <v>810.41</v>
      </c>
      <c r="N606" s="47">
        <v>100</v>
      </c>
      <c r="O606" s="291">
        <v>116.66</v>
      </c>
      <c r="P606" s="291"/>
      <c r="Q606" s="291"/>
      <c r="R606" s="262">
        <v>24.560000000000002</v>
      </c>
      <c r="S606" s="262">
        <v>141.22</v>
      </c>
      <c r="U606" s="149">
        <f t="shared" si="54"/>
        <v>53044</v>
      </c>
      <c r="V606" s="146">
        <f t="shared" si="55"/>
        <v>5.75</v>
      </c>
      <c r="W606" s="150">
        <f t="shared" si="56"/>
        <v>27.25</v>
      </c>
      <c r="X606" s="146">
        <f t="shared" si="57"/>
        <v>27.25</v>
      </c>
    </row>
    <row r="607" spans="1:24" ht="9.75" customHeight="1" x14ac:dyDescent="0.25">
      <c r="A607" s="288">
        <v>946</v>
      </c>
      <c r="B607" s="288"/>
      <c r="D607" s="258" t="s">
        <v>326</v>
      </c>
      <c r="E607" s="289">
        <v>41029</v>
      </c>
      <c r="F607" s="289"/>
      <c r="G607" s="289"/>
      <c r="H607" s="289"/>
      <c r="I607" s="290" t="s">
        <v>205</v>
      </c>
      <c r="J607" s="290"/>
      <c r="K607" s="290"/>
      <c r="L607" s="47">
        <v>33</v>
      </c>
      <c r="M607" s="262">
        <v>810.41</v>
      </c>
      <c r="N607" s="47">
        <v>100</v>
      </c>
      <c r="O607" s="291">
        <v>114.61</v>
      </c>
      <c r="P607" s="291"/>
      <c r="Q607" s="291"/>
      <c r="R607" s="262">
        <v>24.560000000000002</v>
      </c>
      <c r="S607" s="262">
        <v>139.16999999999999</v>
      </c>
      <c r="U607" s="149">
        <f t="shared" ref="U607:U638" si="58">E607+(L607*365)</f>
        <v>53074</v>
      </c>
      <c r="V607" s="146">
        <f t="shared" ref="V607:V638" si="59">YEARFRAC(E607,$V$14)</f>
        <v>5.666666666666667</v>
      </c>
      <c r="W607" s="150">
        <f t="shared" ref="W607:W638" si="60">IF(V607&gt;L607,0,L607-V607)</f>
        <v>27.333333333333332</v>
      </c>
      <c r="X607" s="146">
        <f t="shared" ref="X607:X638" si="61">IF(W607=0,0,W607)</f>
        <v>27.333333333333332</v>
      </c>
    </row>
    <row r="608" spans="1:24" ht="9.75" customHeight="1" x14ac:dyDescent="0.25">
      <c r="A608" s="288">
        <v>949</v>
      </c>
      <c r="B608" s="288"/>
      <c r="D608" s="258" t="s">
        <v>326</v>
      </c>
      <c r="E608" s="289">
        <v>41060</v>
      </c>
      <c r="F608" s="289"/>
      <c r="G608" s="289"/>
      <c r="H608" s="289"/>
      <c r="I608" s="290" t="s">
        <v>205</v>
      </c>
      <c r="J608" s="290"/>
      <c r="K608" s="290"/>
      <c r="L608" s="47">
        <v>33</v>
      </c>
      <c r="M608" s="262">
        <v>1215.6099999999999</v>
      </c>
      <c r="N608" s="47">
        <v>100</v>
      </c>
      <c r="O608" s="291">
        <v>168.85</v>
      </c>
      <c r="P608" s="291"/>
      <c r="Q608" s="291"/>
      <c r="R608" s="262">
        <v>36.840000000000003</v>
      </c>
      <c r="S608" s="262">
        <v>205.69</v>
      </c>
      <c r="U608" s="149">
        <f t="shared" si="58"/>
        <v>53105</v>
      </c>
      <c r="V608" s="146">
        <f t="shared" si="59"/>
        <v>5.583333333333333</v>
      </c>
      <c r="W608" s="150">
        <f t="shared" si="60"/>
        <v>27.416666666666668</v>
      </c>
      <c r="X608" s="146">
        <f t="shared" si="61"/>
        <v>27.416666666666668</v>
      </c>
    </row>
    <row r="609" spans="1:24" ht="9.75" customHeight="1" x14ac:dyDescent="0.25">
      <c r="A609" s="288">
        <v>955</v>
      </c>
      <c r="B609" s="288"/>
      <c r="D609" s="258" t="s">
        <v>326</v>
      </c>
      <c r="E609" s="289">
        <v>41090</v>
      </c>
      <c r="F609" s="289"/>
      <c r="G609" s="289"/>
      <c r="H609" s="289"/>
      <c r="I609" s="290" t="s">
        <v>205</v>
      </c>
      <c r="J609" s="290"/>
      <c r="K609" s="290"/>
      <c r="L609" s="47">
        <v>33</v>
      </c>
      <c r="M609" s="262">
        <v>810.41</v>
      </c>
      <c r="N609" s="47">
        <v>100</v>
      </c>
      <c r="O609" s="291">
        <v>110.52</v>
      </c>
      <c r="P609" s="291"/>
      <c r="Q609" s="291"/>
      <c r="R609" s="262">
        <v>24.560000000000002</v>
      </c>
      <c r="S609" s="262">
        <v>135.08000000000001</v>
      </c>
      <c r="U609" s="149">
        <f t="shared" si="58"/>
        <v>53135</v>
      </c>
      <c r="V609" s="146">
        <f t="shared" si="59"/>
        <v>5.5</v>
      </c>
      <c r="W609" s="150">
        <f t="shared" si="60"/>
        <v>27.5</v>
      </c>
      <c r="X609" s="146">
        <f t="shared" si="61"/>
        <v>27.5</v>
      </c>
    </row>
    <row r="610" spans="1:24" ht="9.75" customHeight="1" x14ac:dyDescent="0.25">
      <c r="A610" s="288">
        <v>960</v>
      </c>
      <c r="B610" s="288"/>
      <c r="D610" s="258" t="s">
        <v>326</v>
      </c>
      <c r="E610" s="289">
        <v>41121</v>
      </c>
      <c r="F610" s="289"/>
      <c r="G610" s="289"/>
      <c r="H610" s="289"/>
      <c r="I610" s="290" t="s">
        <v>205</v>
      </c>
      <c r="J610" s="290"/>
      <c r="K610" s="290"/>
      <c r="L610" s="47">
        <v>33</v>
      </c>
      <c r="M610" s="262">
        <v>810.41</v>
      </c>
      <c r="N610" s="47">
        <v>100</v>
      </c>
      <c r="O610" s="291">
        <v>108.47</v>
      </c>
      <c r="P610" s="291"/>
      <c r="Q610" s="291"/>
      <c r="R610" s="262">
        <v>24.560000000000002</v>
      </c>
      <c r="S610" s="262">
        <v>133.03</v>
      </c>
      <c r="U610" s="149">
        <f t="shared" si="58"/>
        <v>53166</v>
      </c>
      <c r="V610" s="146">
        <f t="shared" si="59"/>
        <v>5.416666666666667</v>
      </c>
      <c r="W610" s="150">
        <f t="shared" si="60"/>
        <v>27.583333333333332</v>
      </c>
      <c r="X610" s="146">
        <f t="shared" si="61"/>
        <v>27.583333333333332</v>
      </c>
    </row>
    <row r="611" spans="1:24" ht="9.75" customHeight="1" x14ac:dyDescent="0.25">
      <c r="A611" s="288">
        <v>966</v>
      </c>
      <c r="B611" s="288"/>
      <c r="D611" s="258" t="s">
        <v>326</v>
      </c>
      <c r="E611" s="289">
        <v>41152</v>
      </c>
      <c r="F611" s="289"/>
      <c r="G611" s="289"/>
      <c r="H611" s="289"/>
      <c r="I611" s="290" t="s">
        <v>205</v>
      </c>
      <c r="J611" s="290"/>
      <c r="K611" s="290"/>
      <c r="L611" s="47">
        <v>33</v>
      </c>
      <c r="M611" s="262">
        <v>810.41</v>
      </c>
      <c r="N611" s="47">
        <v>100</v>
      </c>
      <c r="O611" s="291">
        <v>106.43</v>
      </c>
      <c r="P611" s="291"/>
      <c r="Q611" s="291"/>
      <c r="R611" s="262">
        <v>24.560000000000002</v>
      </c>
      <c r="S611" s="262">
        <v>130.99</v>
      </c>
      <c r="U611" s="149">
        <f t="shared" si="58"/>
        <v>53197</v>
      </c>
      <c r="V611" s="146">
        <f t="shared" si="59"/>
        <v>5.333333333333333</v>
      </c>
      <c r="W611" s="150">
        <f t="shared" si="60"/>
        <v>27.666666666666668</v>
      </c>
      <c r="X611" s="146">
        <f t="shared" si="61"/>
        <v>27.666666666666668</v>
      </c>
    </row>
    <row r="612" spans="1:24" ht="9.75" customHeight="1" x14ac:dyDescent="0.25">
      <c r="A612" s="288">
        <v>974</v>
      </c>
      <c r="B612" s="288"/>
      <c r="D612" s="258" t="s">
        <v>326</v>
      </c>
      <c r="E612" s="289">
        <v>41182</v>
      </c>
      <c r="F612" s="289"/>
      <c r="G612" s="289"/>
      <c r="H612" s="289"/>
      <c r="I612" s="290" t="s">
        <v>205</v>
      </c>
      <c r="J612" s="290"/>
      <c r="K612" s="290"/>
      <c r="L612" s="47">
        <v>33</v>
      </c>
      <c r="M612" s="262">
        <v>894.23</v>
      </c>
      <c r="N612" s="47">
        <v>100</v>
      </c>
      <c r="O612" s="291">
        <v>115.18</v>
      </c>
      <c r="P612" s="291"/>
      <c r="Q612" s="291"/>
      <c r="R612" s="262">
        <v>27.1</v>
      </c>
      <c r="S612" s="262">
        <v>142.28</v>
      </c>
      <c r="U612" s="149">
        <f t="shared" si="58"/>
        <v>53227</v>
      </c>
      <c r="V612" s="146">
        <f t="shared" si="59"/>
        <v>5.25</v>
      </c>
      <c r="W612" s="150">
        <f t="shared" si="60"/>
        <v>27.75</v>
      </c>
      <c r="X612" s="146">
        <f t="shared" si="61"/>
        <v>27.75</v>
      </c>
    </row>
    <row r="613" spans="1:24" ht="9.75" customHeight="1" x14ac:dyDescent="0.25">
      <c r="A613" s="288">
        <v>978</v>
      </c>
      <c r="B613" s="288"/>
      <c r="D613" s="258" t="s">
        <v>326</v>
      </c>
      <c r="E613" s="289">
        <v>41213</v>
      </c>
      <c r="F613" s="289"/>
      <c r="G613" s="289"/>
      <c r="H613" s="289"/>
      <c r="I613" s="290" t="s">
        <v>205</v>
      </c>
      <c r="J613" s="290"/>
      <c r="K613" s="290"/>
      <c r="L613" s="47">
        <v>33</v>
      </c>
      <c r="M613" s="262">
        <v>1341.34</v>
      </c>
      <c r="N613" s="47">
        <v>100</v>
      </c>
      <c r="O613" s="291">
        <v>169.38</v>
      </c>
      <c r="P613" s="291"/>
      <c r="Q613" s="291"/>
      <c r="R613" s="262">
        <v>40.65</v>
      </c>
      <c r="S613" s="262">
        <v>210.03</v>
      </c>
      <c r="U613" s="149">
        <f t="shared" si="58"/>
        <v>53258</v>
      </c>
      <c r="V613" s="146">
        <f t="shared" si="59"/>
        <v>5.166666666666667</v>
      </c>
      <c r="W613" s="150">
        <f t="shared" si="60"/>
        <v>27.833333333333332</v>
      </c>
      <c r="X613" s="146">
        <f t="shared" si="61"/>
        <v>27.833333333333332</v>
      </c>
    </row>
    <row r="614" spans="1:24" ht="9.75" customHeight="1" x14ac:dyDescent="0.25">
      <c r="A614" s="288">
        <v>986</v>
      </c>
      <c r="B614" s="288"/>
      <c r="D614" s="258" t="s">
        <v>70</v>
      </c>
      <c r="E614" s="289">
        <v>41243</v>
      </c>
      <c r="F614" s="289"/>
      <c r="G614" s="289"/>
      <c r="H614" s="289"/>
      <c r="I614" s="290" t="s">
        <v>205</v>
      </c>
      <c r="J614" s="290"/>
      <c r="K614" s="290"/>
      <c r="L614" s="47">
        <v>33</v>
      </c>
      <c r="M614" s="262">
        <v>894.23</v>
      </c>
      <c r="N614" s="47">
        <v>100</v>
      </c>
      <c r="O614" s="291">
        <v>110.66</v>
      </c>
      <c r="P614" s="291"/>
      <c r="Q614" s="291"/>
      <c r="R614" s="262">
        <v>27.1</v>
      </c>
      <c r="S614" s="262">
        <v>137.76</v>
      </c>
      <c r="U614" s="149">
        <f t="shared" si="58"/>
        <v>53288</v>
      </c>
      <c r="V614" s="146">
        <f t="shared" si="59"/>
        <v>5.083333333333333</v>
      </c>
      <c r="W614" s="150">
        <f t="shared" si="60"/>
        <v>27.916666666666668</v>
      </c>
      <c r="X614" s="146">
        <f t="shared" si="61"/>
        <v>27.916666666666668</v>
      </c>
    </row>
    <row r="615" spans="1:24" ht="9.75" customHeight="1" x14ac:dyDescent="0.25">
      <c r="A615" s="288">
        <v>989</v>
      </c>
      <c r="B615" s="288"/>
      <c r="D615" s="258" t="s">
        <v>70</v>
      </c>
      <c r="E615" s="289">
        <v>41274</v>
      </c>
      <c r="F615" s="289"/>
      <c r="G615" s="289"/>
      <c r="H615" s="289"/>
      <c r="I615" s="290" t="s">
        <v>205</v>
      </c>
      <c r="J615" s="290"/>
      <c r="K615" s="290"/>
      <c r="L615" s="47">
        <v>33</v>
      </c>
      <c r="M615" s="262">
        <v>894.23</v>
      </c>
      <c r="N615" s="47">
        <v>100</v>
      </c>
      <c r="O615" s="291">
        <v>108.4</v>
      </c>
      <c r="P615" s="291"/>
      <c r="Q615" s="291"/>
      <c r="R615" s="262">
        <v>27.1</v>
      </c>
      <c r="S615" s="262">
        <v>135.5</v>
      </c>
      <c r="U615" s="149">
        <f t="shared" si="58"/>
        <v>53319</v>
      </c>
      <c r="V615" s="146">
        <f t="shared" si="59"/>
        <v>5</v>
      </c>
      <c r="W615" s="150">
        <f t="shared" si="60"/>
        <v>28</v>
      </c>
      <c r="X615" s="146">
        <f t="shared" si="61"/>
        <v>28</v>
      </c>
    </row>
    <row r="616" spans="1:24" ht="9.75" customHeight="1" x14ac:dyDescent="0.25">
      <c r="A616" s="288">
        <v>994</v>
      </c>
      <c r="B616" s="288"/>
      <c r="D616" s="258" t="s">
        <v>70</v>
      </c>
      <c r="E616" s="289">
        <v>41394</v>
      </c>
      <c r="F616" s="289"/>
      <c r="G616" s="289"/>
      <c r="H616" s="289"/>
      <c r="I616" s="290" t="s">
        <v>205</v>
      </c>
      <c r="J616" s="290"/>
      <c r="K616" s="290"/>
      <c r="L616" s="47">
        <v>33</v>
      </c>
      <c r="M616" s="262">
        <v>951.92000000000007</v>
      </c>
      <c r="N616" s="47">
        <v>100</v>
      </c>
      <c r="O616" s="291">
        <v>105.78</v>
      </c>
      <c r="P616" s="291"/>
      <c r="Q616" s="291"/>
      <c r="R616" s="262">
        <v>28.85</v>
      </c>
      <c r="S616" s="262">
        <v>134.63</v>
      </c>
      <c r="U616" s="149">
        <f t="shared" si="58"/>
        <v>53439</v>
      </c>
      <c r="V616" s="146">
        <f t="shared" si="59"/>
        <v>4.666666666666667</v>
      </c>
      <c r="W616" s="150">
        <f t="shared" si="60"/>
        <v>28.333333333333332</v>
      </c>
      <c r="X616" s="146">
        <f t="shared" si="61"/>
        <v>28.333333333333332</v>
      </c>
    </row>
    <row r="617" spans="1:24" ht="9.75" customHeight="1" x14ac:dyDescent="0.25">
      <c r="A617" s="288">
        <v>998</v>
      </c>
      <c r="B617" s="288"/>
      <c r="D617" s="258" t="s">
        <v>70</v>
      </c>
      <c r="E617" s="289">
        <v>41425</v>
      </c>
      <c r="F617" s="289"/>
      <c r="G617" s="289"/>
      <c r="H617" s="289"/>
      <c r="I617" s="290" t="s">
        <v>205</v>
      </c>
      <c r="J617" s="290"/>
      <c r="K617" s="290"/>
      <c r="L617" s="47">
        <v>33</v>
      </c>
      <c r="M617" s="262">
        <v>1427.88</v>
      </c>
      <c r="N617" s="47">
        <v>100</v>
      </c>
      <c r="O617" s="291">
        <v>155.05000000000001</v>
      </c>
      <c r="P617" s="291"/>
      <c r="Q617" s="291"/>
      <c r="R617" s="262">
        <v>43.27</v>
      </c>
      <c r="S617" s="262">
        <v>198.32</v>
      </c>
      <c r="U617" s="149">
        <f t="shared" si="58"/>
        <v>53470</v>
      </c>
      <c r="V617" s="146">
        <f t="shared" si="59"/>
        <v>4.583333333333333</v>
      </c>
      <c r="W617" s="150">
        <f t="shared" si="60"/>
        <v>28.416666666666668</v>
      </c>
      <c r="X617" s="146">
        <f t="shared" si="61"/>
        <v>28.416666666666668</v>
      </c>
    </row>
    <row r="618" spans="1:24" ht="9.75" customHeight="1" x14ac:dyDescent="0.25">
      <c r="A618" s="288">
        <v>1001</v>
      </c>
      <c r="B618" s="288"/>
      <c r="D618" s="258" t="s">
        <v>70</v>
      </c>
      <c r="E618" s="289">
        <v>41455</v>
      </c>
      <c r="F618" s="289"/>
      <c r="G618" s="289"/>
      <c r="H618" s="289"/>
      <c r="I618" s="290" t="s">
        <v>205</v>
      </c>
      <c r="J618" s="290"/>
      <c r="K618" s="290"/>
      <c r="L618" s="47">
        <v>33</v>
      </c>
      <c r="M618" s="262">
        <v>951.92000000000007</v>
      </c>
      <c r="N618" s="47">
        <v>100</v>
      </c>
      <c r="O618" s="291">
        <v>100.98</v>
      </c>
      <c r="P618" s="291"/>
      <c r="Q618" s="291"/>
      <c r="R618" s="262">
        <v>28.85</v>
      </c>
      <c r="S618" s="262">
        <v>129.83000000000001</v>
      </c>
      <c r="U618" s="149">
        <f t="shared" si="58"/>
        <v>53500</v>
      </c>
      <c r="V618" s="146">
        <f t="shared" si="59"/>
        <v>4.5</v>
      </c>
      <c r="W618" s="150">
        <f t="shared" si="60"/>
        <v>28.5</v>
      </c>
      <c r="X618" s="146">
        <f t="shared" si="61"/>
        <v>28.5</v>
      </c>
    </row>
    <row r="619" spans="1:24" ht="9.75" customHeight="1" x14ac:dyDescent="0.25">
      <c r="A619" s="288">
        <v>1004</v>
      </c>
      <c r="B619" s="288"/>
      <c r="D619" s="258" t="s">
        <v>70</v>
      </c>
      <c r="E619" s="289">
        <v>41486</v>
      </c>
      <c r="F619" s="289"/>
      <c r="G619" s="289"/>
      <c r="H619" s="289"/>
      <c r="I619" s="290" t="s">
        <v>205</v>
      </c>
      <c r="J619" s="290"/>
      <c r="K619" s="290"/>
      <c r="L619" s="47">
        <v>33</v>
      </c>
      <c r="M619" s="262">
        <v>951.92000000000007</v>
      </c>
      <c r="N619" s="47">
        <v>100</v>
      </c>
      <c r="O619" s="291">
        <v>98.570000000000007</v>
      </c>
      <c r="P619" s="291"/>
      <c r="Q619" s="291"/>
      <c r="R619" s="262">
        <v>28.85</v>
      </c>
      <c r="S619" s="262">
        <v>127.42</v>
      </c>
      <c r="U619" s="149">
        <f t="shared" si="58"/>
        <v>53531</v>
      </c>
      <c r="V619" s="146">
        <f t="shared" si="59"/>
        <v>4.416666666666667</v>
      </c>
      <c r="W619" s="150">
        <f t="shared" si="60"/>
        <v>28.583333333333332</v>
      </c>
      <c r="X619" s="146">
        <f t="shared" si="61"/>
        <v>28.583333333333332</v>
      </c>
    </row>
    <row r="620" spans="1:24" ht="9.75" customHeight="1" x14ac:dyDescent="0.25">
      <c r="A620" s="288">
        <v>1007</v>
      </c>
      <c r="B620" s="288"/>
      <c r="D620" s="258" t="s">
        <v>70</v>
      </c>
      <c r="E620" s="289">
        <v>41517</v>
      </c>
      <c r="F620" s="289"/>
      <c r="G620" s="289"/>
      <c r="H620" s="289"/>
      <c r="I620" s="290" t="s">
        <v>205</v>
      </c>
      <c r="J620" s="290"/>
      <c r="K620" s="290"/>
      <c r="L620" s="47">
        <v>33</v>
      </c>
      <c r="M620" s="262">
        <v>951.92000000000007</v>
      </c>
      <c r="N620" s="47">
        <v>100</v>
      </c>
      <c r="O620" s="291">
        <v>96.17</v>
      </c>
      <c r="P620" s="291"/>
      <c r="Q620" s="291"/>
      <c r="R620" s="262">
        <v>28.85</v>
      </c>
      <c r="S620" s="262">
        <v>125.02</v>
      </c>
      <c r="U620" s="149">
        <f t="shared" si="58"/>
        <v>53562</v>
      </c>
      <c r="V620" s="146">
        <f t="shared" si="59"/>
        <v>4.333333333333333</v>
      </c>
      <c r="W620" s="150">
        <f t="shared" si="60"/>
        <v>28.666666666666668</v>
      </c>
      <c r="X620" s="146">
        <f t="shared" si="61"/>
        <v>28.666666666666668</v>
      </c>
    </row>
    <row r="621" spans="1:24" ht="9.75" customHeight="1" x14ac:dyDescent="0.25">
      <c r="A621" s="288">
        <v>1011</v>
      </c>
      <c r="B621" s="288"/>
      <c r="D621" s="258" t="s">
        <v>70</v>
      </c>
      <c r="E621" s="289">
        <v>41547</v>
      </c>
      <c r="F621" s="289"/>
      <c r="G621" s="289"/>
      <c r="H621" s="289"/>
      <c r="I621" s="290" t="s">
        <v>205</v>
      </c>
      <c r="J621" s="290"/>
      <c r="K621" s="290"/>
      <c r="L621" s="47">
        <v>33</v>
      </c>
      <c r="M621" s="262">
        <v>2809.44</v>
      </c>
      <c r="N621" s="47">
        <v>100</v>
      </c>
      <c r="O621" s="291">
        <v>276.67</v>
      </c>
      <c r="P621" s="291"/>
      <c r="Q621" s="291"/>
      <c r="R621" s="262">
        <v>85.13</v>
      </c>
      <c r="S621" s="262">
        <v>361.8</v>
      </c>
      <c r="U621" s="149">
        <f t="shared" si="58"/>
        <v>53592</v>
      </c>
      <c r="V621" s="146">
        <f t="shared" si="59"/>
        <v>4.25</v>
      </c>
      <c r="W621" s="150">
        <f t="shared" si="60"/>
        <v>28.75</v>
      </c>
      <c r="X621" s="146">
        <f t="shared" si="61"/>
        <v>28.75</v>
      </c>
    </row>
    <row r="622" spans="1:24" ht="9.75" customHeight="1" x14ac:dyDescent="0.25">
      <c r="A622" s="288">
        <v>1016</v>
      </c>
      <c r="B622" s="288"/>
      <c r="D622" s="258" t="s">
        <v>70</v>
      </c>
      <c r="E622" s="289">
        <v>41578</v>
      </c>
      <c r="F622" s="289"/>
      <c r="G622" s="289"/>
      <c r="H622" s="289"/>
      <c r="I622" s="290" t="s">
        <v>205</v>
      </c>
      <c r="J622" s="290"/>
      <c r="K622" s="290"/>
      <c r="L622" s="47">
        <v>33</v>
      </c>
      <c r="M622" s="262">
        <v>1427.88</v>
      </c>
      <c r="N622" s="47">
        <v>100</v>
      </c>
      <c r="O622" s="291">
        <v>137.02000000000001</v>
      </c>
      <c r="P622" s="291"/>
      <c r="Q622" s="291"/>
      <c r="R622" s="262">
        <v>43.27</v>
      </c>
      <c r="S622" s="262">
        <v>180.29</v>
      </c>
      <c r="U622" s="149">
        <f t="shared" si="58"/>
        <v>53623</v>
      </c>
      <c r="V622" s="146">
        <f t="shared" si="59"/>
        <v>4.166666666666667</v>
      </c>
      <c r="W622" s="150">
        <f t="shared" si="60"/>
        <v>28.833333333333332</v>
      </c>
      <c r="X622" s="146">
        <f t="shared" si="61"/>
        <v>28.833333333333332</v>
      </c>
    </row>
    <row r="623" spans="1:24" ht="9.75" customHeight="1" x14ac:dyDescent="0.25">
      <c r="A623" s="288">
        <v>1020</v>
      </c>
      <c r="B623" s="288"/>
      <c r="D623" s="258" t="s">
        <v>70</v>
      </c>
      <c r="E623" s="289">
        <v>41608</v>
      </c>
      <c r="F623" s="289"/>
      <c r="G623" s="289"/>
      <c r="H623" s="289"/>
      <c r="I623" s="290" t="s">
        <v>205</v>
      </c>
      <c r="J623" s="290"/>
      <c r="K623" s="290"/>
      <c r="L623" s="47">
        <v>33</v>
      </c>
      <c r="M623" s="262">
        <v>951.92000000000007</v>
      </c>
      <c r="N623" s="47">
        <v>100</v>
      </c>
      <c r="O623" s="291">
        <v>88.95</v>
      </c>
      <c r="P623" s="291"/>
      <c r="Q623" s="291"/>
      <c r="R623" s="262">
        <v>28.85</v>
      </c>
      <c r="S623" s="262">
        <v>117.8</v>
      </c>
      <c r="U623" s="149">
        <f t="shared" si="58"/>
        <v>53653</v>
      </c>
      <c r="V623" s="146">
        <f t="shared" si="59"/>
        <v>4.083333333333333</v>
      </c>
      <c r="W623" s="150">
        <f t="shared" si="60"/>
        <v>28.916666666666668</v>
      </c>
      <c r="X623" s="146">
        <f t="shared" si="61"/>
        <v>28.916666666666668</v>
      </c>
    </row>
    <row r="624" spans="1:24" ht="9.75" customHeight="1" x14ac:dyDescent="0.25">
      <c r="A624" s="288">
        <v>1024</v>
      </c>
      <c r="B624" s="288"/>
      <c r="D624" s="258" t="s">
        <v>326</v>
      </c>
      <c r="E624" s="289">
        <v>41639</v>
      </c>
      <c r="F624" s="289"/>
      <c r="G624" s="289"/>
      <c r="H624" s="289"/>
      <c r="I624" s="290" t="s">
        <v>205</v>
      </c>
      <c r="J624" s="290"/>
      <c r="K624" s="290"/>
      <c r="L624" s="47">
        <v>33</v>
      </c>
      <c r="M624" s="262">
        <v>634.61</v>
      </c>
      <c r="N624" s="47">
        <v>100</v>
      </c>
      <c r="O624" s="291">
        <v>57.69</v>
      </c>
      <c r="P624" s="291"/>
      <c r="Q624" s="291"/>
      <c r="R624" s="262">
        <v>19.23</v>
      </c>
      <c r="S624" s="262">
        <v>76.92</v>
      </c>
      <c r="U624" s="149">
        <f t="shared" si="58"/>
        <v>53684</v>
      </c>
      <c r="V624" s="146">
        <f t="shared" si="59"/>
        <v>4</v>
      </c>
      <c r="W624" s="150">
        <f t="shared" si="60"/>
        <v>29</v>
      </c>
      <c r="X624" s="146">
        <f t="shared" si="61"/>
        <v>29</v>
      </c>
    </row>
    <row r="625" spans="1:24" ht="9.75" customHeight="1" x14ac:dyDescent="0.25">
      <c r="A625" s="288">
        <v>1028</v>
      </c>
      <c r="B625" s="288"/>
      <c r="D625" s="258" t="s">
        <v>70</v>
      </c>
      <c r="E625" s="289">
        <v>41305</v>
      </c>
      <c r="F625" s="289"/>
      <c r="G625" s="289"/>
      <c r="H625" s="289"/>
      <c r="I625" s="290" t="s">
        <v>205</v>
      </c>
      <c r="J625" s="290"/>
      <c r="K625" s="290"/>
      <c r="L625" s="47">
        <v>33</v>
      </c>
      <c r="M625" s="262">
        <v>951.92000000000007</v>
      </c>
      <c r="N625" s="47">
        <v>100</v>
      </c>
      <c r="O625" s="291">
        <v>113</v>
      </c>
      <c r="P625" s="291"/>
      <c r="Q625" s="291"/>
      <c r="R625" s="262">
        <v>28.85</v>
      </c>
      <c r="S625" s="262">
        <v>141.85</v>
      </c>
      <c r="U625" s="149">
        <f t="shared" si="58"/>
        <v>53350</v>
      </c>
      <c r="V625" s="146">
        <f t="shared" si="59"/>
        <v>4.916666666666667</v>
      </c>
      <c r="W625" s="150">
        <f t="shared" si="60"/>
        <v>28.083333333333332</v>
      </c>
      <c r="X625" s="146">
        <f t="shared" si="61"/>
        <v>28.083333333333332</v>
      </c>
    </row>
    <row r="626" spans="1:24" ht="9.75" customHeight="1" x14ac:dyDescent="0.25">
      <c r="A626" s="288">
        <v>1029</v>
      </c>
      <c r="B626" s="288"/>
      <c r="D626" s="258" t="s">
        <v>70</v>
      </c>
      <c r="E626" s="289">
        <v>41333</v>
      </c>
      <c r="F626" s="289"/>
      <c r="G626" s="289"/>
      <c r="H626" s="289"/>
      <c r="I626" s="290" t="s">
        <v>205</v>
      </c>
      <c r="J626" s="290"/>
      <c r="K626" s="290"/>
      <c r="L626" s="47">
        <v>33</v>
      </c>
      <c r="M626" s="262">
        <v>2437.19</v>
      </c>
      <c r="N626" s="47">
        <v>100</v>
      </c>
      <c r="O626" s="291">
        <v>283.08999999999997</v>
      </c>
      <c r="P626" s="291"/>
      <c r="Q626" s="291"/>
      <c r="R626" s="262">
        <v>73.849999999999994</v>
      </c>
      <c r="S626" s="262">
        <v>356.94</v>
      </c>
      <c r="U626" s="149">
        <f t="shared" si="58"/>
        <v>53378</v>
      </c>
      <c r="V626" s="146">
        <f t="shared" si="59"/>
        <v>4.8361111111111112</v>
      </c>
      <c r="W626" s="150">
        <f t="shared" si="60"/>
        <v>28.163888888888888</v>
      </c>
      <c r="X626" s="146">
        <f t="shared" si="61"/>
        <v>28.163888888888888</v>
      </c>
    </row>
    <row r="627" spans="1:24" ht="9.75" customHeight="1" x14ac:dyDescent="0.25">
      <c r="A627" s="288">
        <v>1030</v>
      </c>
      <c r="B627" s="288"/>
      <c r="D627" s="258" t="s">
        <v>70</v>
      </c>
      <c r="E627" s="289">
        <v>41364</v>
      </c>
      <c r="F627" s="289"/>
      <c r="G627" s="289"/>
      <c r="H627" s="289"/>
      <c r="I627" s="290" t="s">
        <v>205</v>
      </c>
      <c r="J627" s="290"/>
      <c r="K627" s="290"/>
      <c r="L627" s="47">
        <v>33</v>
      </c>
      <c r="M627" s="262">
        <v>951.92000000000007</v>
      </c>
      <c r="N627" s="47">
        <v>100</v>
      </c>
      <c r="O627" s="291">
        <v>108.19</v>
      </c>
      <c r="P627" s="291"/>
      <c r="Q627" s="291"/>
      <c r="R627" s="262">
        <v>28.85</v>
      </c>
      <c r="S627" s="262">
        <v>137.04</v>
      </c>
      <c r="U627" s="149">
        <f t="shared" si="58"/>
        <v>53409</v>
      </c>
      <c r="V627" s="146">
        <f t="shared" si="59"/>
        <v>4.75</v>
      </c>
      <c r="W627" s="150">
        <f t="shared" si="60"/>
        <v>28.25</v>
      </c>
      <c r="X627" s="146">
        <f t="shared" si="61"/>
        <v>28.25</v>
      </c>
    </row>
    <row r="628" spans="1:24" ht="9.75" customHeight="1" x14ac:dyDescent="0.25">
      <c r="A628" s="288">
        <v>1034</v>
      </c>
      <c r="B628" s="288"/>
      <c r="D628" s="258" t="s">
        <v>70</v>
      </c>
      <c r="E628" s="289">
        <v>41670</v>
      </c>
      <c r="F628" s="289"/>
      <c r="G628" s="289"/>
      <c r="H628" s="289"/>
      <c r="I628" s="290" t="s">
        <v>205</v>
      </c>
      <c r="J628" s="290"/>
      <c r="K628" s="290"/>
      <c r="L628" s="47">
        <v>33</v>
      </c>
      <c r="M628" s="262">
        <v>983.65</v>
      </c>
      <c r="N628" s="47">
        <v>100</v>
      </c>
      <c r="O628" s="291">
        <v>86.95</v>
      </c>
      <c r="P628" s="291"/>
      <c r="Q628" s="291"/>
      <c r="R628" s="262">
        <v>29.810000000000002</v>
      </c>
      <c r="S628" s="262">
        <v>116.76</v>
      </c>
      <c r="U628" s="149">
        <f t="shared" si="58"/>
        <v>53715</v>
      </c>
      <c r="V628" s="146">
        <f t="shared" si="59"/>
        <v>3.9166666666666665</v>
      </c>
      <c r="W628" s="150">
        <f t="shared" si="60"/>
        <v>29.083333333333332</v>
      </c>
      <c r="X628" s="146">
        <f t="shared" si="61"/>
        <v>29.083333333333332</v>
      </c>
    </row>
    <row r="629" spans="1:24" ht="9.75" customHeight="1" x14ac:dyDescent="0.25">
      <c r="A629" s="288">
        <v>1038</v>
      </c>
      <c r="B629" s="288"/>
      <c r="D629" s="258" t="s">
        <v>326</v>
      </c>
      <c r="E629" s="289">
        <v>41698</v>
      </c>
      <c r="F629" s="289"/>
      <c r="G629" s="289"/>
      <c r="H629" s="289"/>
      <c r="I629" s="290" t="s">
        <v>205</v>
      </c>
      <c r="J629" s="290"/>
      <c r="K629" s="290"/>
      <c r="L629" s="47">
        <v>33</v>
      </c>
      <c r="M629" s="262">
        <v>1316.82</v>
      </c>
      <c r="N629" s="47">
        <v>100</v>
      </c>
      <c r="O629" s="291">
        <v>113.05</v>
      </c>
      <c r="P629" s="291"/>
      <c r="Q629" s="291"/>
      <c r="R629" s="262">
        <v>39.9</v>
      </c>
      <c r="S629" s="262">
        <v>152.94999999999999</v>
      </c>
      <c r="U629" s="149">
        <f t="shared" si="58"/>
        <v>53743</v>
      </c>
      <c r="V629" s="146">
        <f t="shared" si="59"/>
        <v>3.8361111111111112</v>
      </c>
      <c r="W629" s="150">
        <f t="shared" si="60"/>
        <v>29.163888888888888</v>
      </c>
      <c r="X629" s="146">
        <f t="shared" si="61"/>
        <v>29.163888888888888</v>
      </c>
    </row>
    <row r="630" spans="1:24" ht="9.75" customHeight="1" x14ac:dyDescent="0.25">
      <c r="A630" s="288">
        <v>1041</v>
      </c>
      <c r="B630" s="288"/>
      <c r="D630" s="258" t="s">
        <v>326</v>
      </c>
      <c r="E630" s="289">
        <v>41729</v>
      </c>
      <c r="F630" s="289"/>
      <c r="G630" s="289"/>
      <c r="H630" s="289"/>
      <c r="I630" s="290" t="s">
        <v>205</v>
      </c>
      <c r="J630" s="290"/>
      <c r="K630" s="290"/>
      <c r="L630" s="47">
        <v>33</v>
      </c>
      <c r="M630" s="262">
        <v>983.65</v>
      </c>
      <c r="N630" s="47">
        <v>100</v>
      </c>
      <c r="O630" s="291">
        <v>81.98</v>
      </c>
      <c r="P630" s="291"/>
      <c r="Q630" s="291"/>
      <c r="R630" s="262">
        <v>29.810000000000002</v>
      </c>
      <c r="S630" s="262">
        <v>111.79</v>
      </c>
      <c r="U630" s="149">
        <f t="shared" si="58"/>
        <v>53774</v>
      </c>
      <c r="V630" s="146">
        <f t="shared" si="59"/>
        <v>3.75</v>
      </c>
      <c r="W630" s="150">
        <f t="shared" si="60"/>
        <v>29.25</v>
      </c>
      <c r="X630" s="146">
        <f t="shared" si="61"/>
        <v>29.25</v>
      </c>
    </row>
    <row r="631" spans="1:24" ht="9.75" customHeight="1" x14ac:dyDescent="0.25">
      <c r="A631" s="288">
        <v>1042</v>
      </c>
      <c r="B631" s="288"/>
      <c r="D631" s="258" t="s">
        <v>326</v>
      </c>
      <c r="E631" s="289">
        <v>41759</v>
      </c>
      <c r="F631" s="289"/>
      <c r="G631" s="289"/>
      <c r="H631" s="289"/>
      <c r="I631" s="290" t="s">
        <v>205</v>
      </c>
      <c r="J631" s="290"/>
      <c r="K631" s="290"/>
      <c r="L631" s="47">
        <v>33</v>
      </c>
      <c r="M631" s="262">
        <v>1475.48</v>
      </c>
      <c r="N631" s="47">
        <v>100</v>
      </c>
      <c r="O631" s="291">
        <v>119.23</v>
      </c>
      <c r="P631" s="291"/>
      <c r="Q631" s="291"/>
      <c r="R631" s="262">
        <v>44.71</v>
      </c>
      <c r="S631" s="262">
        <v>163.94</v>
      </c>
      <c r="U631" s="149">
        <f t="shared" si="58"/>
        <v>53804</v>
      </c>
      <c r="V631" s="146">
        <f t="shared" si="59"/>
        <v>3.6666666666666665</v>
      </c>
      <c r="W631" s="150">
        <f t="shared" si="60"/>
        <v>29.333333333333332</v>
      </c>
      <c r="X631" s="146">
        <f t="shared" si="61"/>
        <v>29.333333333333332</v>
      </c>
    </row>
    <row r="632" spans="1:24" ht="9.75" customHeight="1" x14ac:dyDescent="0.25">
      <c r="A632" s="288">
        <v>1047</v>
      </c>
      <c r="B632" s="288"/>
      <c r="D632" s="258" t="s">
        <v>326</v>
      </c>
      <c r="E632" s="289">
        <v>41790</v>
      </c>
      <c r="F632" s="289"/>
      <c r="G632" s="289"/>
      <c r="H632" s="289"/>
      <c r="I632" s="290" t="s">
        <v>205</v>
      </c>
      <c r="J632" s="290"/>
      <c r="K632" s="290"/>
      <c r="L632" s="47">
        <v>33</v>
      </c>
      <c r="M632" s="262">
        <v>983.65</v>
      </c>
      <c r="N632" s="47">
        <v>100</v>
      </c>
      <c r="O632" s="291">
        <v>77.010000000000005</v>
      </c>
      <c r="P632" s="291"/>
      <c r="Q632" s="291"/>
      <c r="R632" s="262">
        <v>29.810000000000002</v>
      </c>
      <c r="S632" s="262">
        <v>106.82000000000001</v>
      </c>
      <c r="U632" s="149">
        <f t="shared" si="58"/>
        <v>53835</v>
      </c>
      <c r="V632" s="146">
        <f t="shared" si="59"/>
        <v>3.5833333333333335</v>
      </c>
      <c r="W632" s="150">
        <f t="shared" si="60"/>
        <v>29.416666666666668</v>
      </c>
      <c r="X632" s="146">
        <f t="shared" si="61"/>
        <v>29.416666666666668</v>
      </c>
    </row>
    <row r="633" spans="1:24" ht="9.75" customHeight="1" x14ac:dyDescent="0.25">
      <c r="A633" s="288">
        <v>1051</v>
      </c>
      <c r="B633" s="288"/>
      <c r="D633" s="258" t="s">
        <v>326</v>
      </c>
      <c r="E633" s="289">
        <v>41820</v>
      </c>
      <c r="F633" s="289"/>
      <c r="G633" s="289"/>
      <c r="H633" s="289"/>
      <c r="I633" s="290" t="s">
        <v>205</v>
      </c>
      <c r="J633" s="290"/>
      <c r="K633" s="290"/>
      <c r="L633" s="47">
        <v>33</v>
      </c>
      <c r="M633" s="262">
        <v>7108.6500000000005</v>
      </c>
      <c r="N633" s="47">
        <v>100</v>
      </c>
      <c r="O633" s="291">
        <v>538.53</v>
      </c>
      <c r="P633" s="291"/>
      <c r="Q633" s="291"/>
      <c r="R633" s="262">
        <v>215.41</v>
      </c>
      <c r="S633" s="262">
        <v>753.94</v>
      </c>
      <c r="U633" s="149">
        <f t="shared" si="58"/>
        <v>53865</v>
      </c>
      <c r="V633" s="146">
        <f t="shared" si="59"/>
        <v>3.5</v>
      </c>
      <c r="W633" s="150">
        <f t="shared" si="60"/>
        <v>29.5</v>
      </c>
      <c r="X633" s="146">
        <f t="shared" si="61"/>
        <v>29.5</v>
      </c>
    </row>
    <row r="634" spans="1:24" ht="9.75" customHeight="1" x14ac:dyDescent="0.25">
      <c r="A634" s="288">
        <v>1055</v>
      </c>
      <c r="B634" s="288"/>
      <c r="D634" s="258" t="s">
        <v>326</v>
      </c>
      <c r="E634" s="289">
        <v>41851</v>
      </c>
      <c r="F634" s="289"/>
      <c r="G634" s="289"/>
      <c r="H634" s="289"/>
      <c r="I634" s="290" t="s">
        <v>205</v>
      </c>
      <c r="J634" s="290"/>
      <c r="K634" s="290"/>
      <c r="L634" s="47">
        <v>33</v>
      </c>
      <c r="M634" s="262">
        <v>983.65</v>
      </c>
      <c r="N634" s="47">
        <v>100</v>
      </c>
      <c r="O634" s="291">
        <v>72.040000000000006</v>
      </c>
      <c r="P634" s="291"/>
      <c r="Q634" s="291"/>
      <c r="R634" s="262">
        <v>29.810000000000002</v>
      </c>
      <c r="S634" s="262">
        <v>101.85000000000001</v>
      </c>
      <c r="U634" s="149">
        <f t="shared" si="58"/>
        <v>53896</v>
      </c>
      <c r="V634" s="146">
        <f t="shared" si="59"/>
        <v>3.4166666666666665</v>
      </c>
      <c r="W634" s="150">
        <f t="shared" si="60"/>
        <v>29.583333333333332</v>
      </c>
      <c r="X634" s="146">
        <f t="shared" si="61"/>
        <v>29.583333333333332</v>
      </c>
    </row>
    <row r="635" spans="1:24" ht="9.75" customHeight="1" x14ac:dyDescent="0.25">
      <c r="A635" s="288">
        <v>1058</v>
      </c>
      <c r="B635" s="288"/>
      <c r="D635" s="258" t="s">
        <v>326</v>
      </c>
      <c r="E635" s="289">
        <v>41882</v>
      </c>
      <c r="F635" s="289"/>
      <c r="G635" s="289"/>
      <c r="H635" s="289"/>
      <c r="I635" s="290" t="s">
        <v>205</v>
      </c>
      <c r="J635" s="290"/>
      <c r="K635" s="290"/>
      <c r="L635" s="47">
        <v>33</v>
      </c>
      <c r="M635" s="262">
        <v>983.66</v>
      </c>
      <c r="N635" s="47">
        <v>100</v>
      </c>
      <c r="O635" s="291">
        <v>69.56</v>
      </c>
      <c r="P635" s="291"/>
      <c r="Q635" s="291"/>
      <c r="R635" s="262">
        <v>29.810000000000002</v>
      </c>
      <c r="S635" s="262">
        <v>99.37</v>
      </c>
      <c r="U635" s="149">
        <f t="shared" si="58"/>
        <v>53927</v>
      </c>
      <c r="V635" s="146">
        <f t="shared" si="59"/>
        <v>3.3333333333333335</v>
      </c>
      <c r="W635" s="150">
        <f t="shared" si="60"/>
        <v>29.666666666666668</v>
      </c>
      <c r="X635" s="146">
        <f t="shared" si="61"/>
        <v>29.666666666666668</v>
      </c>
    </row>
    <row r="636" spans="1:24" ht="9.75" customHeight="1" x14ac:dyDescent="0.25">
      <c r="A636" s="288">
        <v>1061</v>
      </c>
      <c r="B636" s="288"/>
      <c r="D636" s="258" t="s">
        <v>326</v>
      </c>
      <c r="E636" s="289">
        <v>41912</v>
      </c>
      <c r="F636" s="289"/>
      <c r="G636" s="289"/>
      <c r="H636" s="289"/>
      <c r="I636" s="290" t="s">
        <v>205</v>
      </c>
      <c r="J636" s="290"/>
      <c r="K636" s="290"/>
      <c r="L636" s="47">
        <v>33</v>
      </c>
      <c r="M636" s="262">
        <v>983.65</v>
      </c>
      <c r="N636" s="47">
        <v>100</v>
      </c>
      <c r="O636" s="291">
        <v>67.069999999999993</v>
      </c>
      <c r="P636" s="291"/>
      <c r="Q636" s="291"/>
      <c r="R636" s="262">
        <v>29.810000000000002</v>
      </c>
      <c r="S636" s="262">
        <v>96.88</v>
      </c>
      <c r="U636" s="149">
        <f t="shared" si="58"/>
        <v>53957</v>
      </c>
      <c r="V636" s="146">
        <f t="shared" si="59"/>
        <v>3.25</v>
      </c>
      <c r="W636" s="150">
        <f t="shared" si="60"/>
        <v>29.75</v>
      </c>
      <c r="X636" s="146">
        <f t="shared" si="61"/>
        <v>29.75</v>
      </c>
    </row>
    <row r="637" spans="1:24" ht="9.75" customHeight="1" x14ac:dyDescent="0.25">
      <c r="A637" s="288">
        <v>1064</v>
      </c>
      <c r="B637" s="288"/>
      <c r="D637" s="258" t="s">
        <v>326</v>
      </c>
      <c r="E637" s="289">
        <v>41943</v>
      </c>
      <c r="F637" s="289"/>
      <c r="G637" s="289"/>
      <c r="H637" s="289"/>
      <c r="I637" s="290" t="s">
        <v>205</v>
      </c>
      <c r="J637" s="290"/>
      <c r="K637" s="290"/>
      <c r="L637" s="47">
        <v>33</v>
      </c>
      <c r="M637" s="262">
        <v>1475.48</v>
      </c>
      <c r="N637" s="47">
        <v>100</v>
      </c>
      <c r="O637" s="291">
        <v>96.87</v>
      </c>
      <c r="P637" s="291"/>
      <c r="Q637" s="291"/>
      <c r="R637" s="262">
        <v>44.71</v>
      </c>
      <c r="S637" s="262">
        <v>141.58000000000001</v>
      </c>
      <c r="U637" s="149">
        <f t="shared" si="58"/>
        <v>53988</v>
      </c>
      <c r="V637" s="146">
        <f t="shared" si="59"/>
        <v>3.1666666666666665</v>
      </c>
      <c r="W637" s="150">
        <f t="shared" si="60"/>
        <v>29.833333333333332</v>
      </c>
      <c r="X637" s="146">
        <f t="shared" si="61"/>
        <v>29.833333333333332</v>
      </c>
    </row>
    <row r="638" spans="1:24" ht="9.75" customHeight="1" x14ac:dyDescent="0.25">
      <c r="A638" s="288">
        <v>1067</v>
      </c>
      <c r="B638" s="288"/>
      <c r="D638" s="258" t="s">
        <v>326</v>
      </c>
      <c r="E638" s="289">
        <v>41973</v>
      </c>
      <c r="F638" s="289"/>
      <c r="G638" s="289"/>
      <c r="H638" s="289"/>
      <c r="I638" s="290" t="s">
        <v>205</v>
      </c>
      <c r="J638" s="290"/>
      <c r="K638" s="290"/>
      <c r="L638" s="47">
        <v>33</v>
      </c>
      <c r="M638" s="262">
        <v>983.65</v>
      </c>
      <c r="N638" s="47">
        <v>100</v>
      </c>
      <c r="O638" s="291">
        <v>62.1</v>
      </c>
      <c r="P638" s="291"/>
      <c r="Q638" s="291"/>
      <c r="R638" s="262">
        <v>29.810000000000002</v>
      </c>
      <c r="S638" s="262">
        <v>91.91</v>
      </c>
      <c r="U638" s="149">
        <f t="shared" si="58"/>
        <v>54018</v>
      </c>
      <c r="V638" s="146">
        <f t="shared" si="59"/>
        <v>3.0833333333333335</v>
      </c>
      <c r="W638" s="150">
        <f t="shared" si="60"/>
        <v>29.916666666666668</v>
      </c>
      <c r="X638" s="146">
        <f t="shared" si="61"/>
        <v>29.916666666666668</v>
      </c>
    </row>
    <row r="639" spans="1:24" ht="9.75" customHeight="1" x14ac:dyDescent="0.25">
      <c r="A639" s="288">
        <v>1070</v>
      </c>
      <c r="B639" s="288"/>
      <c r="D639" s="258" t="s">
        <v>326</v>
      </c>
      <c r="E639" s="289">
        <v>42004</v>
      </c>
      <c r="F639" s="289"/>
      <c r="G639" s="289"/>
      <c r="H639" s="289"/>
      <c r="I639" s="290" t="s">
        <v>205</v>
      </c>
      <c r="J639" s="290"/>
      <c r="K639" s="290"/>
      <c r="L639" s="47">
        <v>33</v>
      </c>
      <c r="M639" s="262">
        <v>4358.6499999999996</v>
      </c>
      <c r="N639" s="47">
        <v>100</v>
      </c>
      <c r="O639" s="291">
        <v>264.16000000000003</v>
      </c>
      <c r="P639" s="291"/>
      <c r="Q639" s="291"/>
      <c r="R639" s="262">
        <v>132.08000000000001</v>
      </c>
      <c r="S639" s="262">
        <v>396.24</v>
      </c>
      <c r="U639" s="149">
        <f t="shared" ref="U639:U675" si="62">E639+(L639*365)</f>
        <v>54049</v>
      </c>
      <c r="V639" s="146">
        <f t="shared" ref="V639:V675" si="63">YEARFRAC(E639,$V$14)</f>
        <v>3</v>
      </c>
      <c r="W639" s="150">
        <f t="shared" ref="W639:W670" si="64">IF(V639&gt;L639,0,L639-V639)</f>
        <v>30</v>
      </c>
      <c r="X639" s="146">
        <f t="shared" ref="X639:X670" si="65">IF(W639=0,0,W639)</f>
        <v>30</v>
      </c>
    </row>
    <row r="640" spans="1:24" ht="9.75" customHeight="1" x14ac:dyDescent="0.25">
      <c r="A640" s="288">
        <v>1073</v>
      </c>
      <c r="B640" s="288"/>
      <c r="D640" s="258" t="s">
        <v>326</v>
      </c>
      <c r="E640" s="289">
        <v>42035</v>
      </c>
      <c r="F640" s="289"/>
      <c r="G640" s="289"/>
      <c r="H640" s="289"/>
      <c r="I640" s="290" t="s">
        <v>205</v>
      </c>
      <c r="J640" s="290"/>
      <c r="K640" s="290"/>
      <c r="L640" s="47">
        <v>33</v>
      </c>
      <c r="M640" s="262">
        <v>1011.0500000000001</v>
      </c>
      <c r="N640" s="47">
        <v>100</v>
      </c>
      <c r="O640" s="291">
        <v>58.730000000000004</v>
      </c>
      <c r="P640" s="291"/>
      <c r="Q640" s="291"/>
      <c r="R640" s="262">
        <v>30.64</v>
      </c>
      <c r="S640" s="262">
        <v>89.37</v>
      </c>
      <c r="U640" s="149">
        <f t="shared" si="62"/>
        <v>54080</v>
      </c>
      <c r="V640" s="146">
        <f t="shared" si="63"/>
        <v>2.9166666666666665</v>
      </c>
      <c r="W640" s="150">
        <f t="shared" si="64"/>
        <v>30.083333333333332</v>
      </c>
      <c r="X640" s="146">
        <f t="shared" si="65"/>
        <v>30.083333333333332</v>
      </c>
    </row>
    <row r="641" spans="1:24" ht="9.75" customHeight="1" x14ac:dyDescent="0.25">
      <c r="A641" s="288">
        <v>1075</v>
      </c>
      <c r="B641" s="288"/>
      <c r="D641" s="258" t="s">
        <v>326</v>
      </c>
      <c r="E641" s="289">
        <v>42063</v>
      </c>
      <c r="F641" s="289"/>
      <c r="G641" s="289"/>
      <c r="H641" s="289"/>
      <c r="I641" s="290" t="s">
        <v>205</v>
      </c>
      <c r="J641" s="290"/>
      <c r="K641" s="290"/>
      <c r="L641" s="47">
        <v>33</v>
      </c>
      <c r="M641" s="262">
        <v>1038.46</v>
      </c>
      <c r="N641" s="47">
        <v>100</v>
      </c>
      <c r="O641" s="291">
        <v>57.69</v>
      </c>
      <c r="P641" s="291"/>
      <c r="Q641" s="291"/>
      <c r="R641" s="262">
        <v>31.470000000000002</v>
      </c>
      <c r="S641" s="262">
        <v>89.16</v>
      </c>
      <c r="U641" s="149">
        <f t="shared" si="62"/>
        <v>54108</v>
      </c>
      <c r="V641" s="146">
        <f t="shared" si="63"/>
        <v>2.8361111111111112</v>
      </c>
      <c r="W641" s="150">
        <f t="shared" si="64"/>
        <v>30.163888888888888</v>
      </c>
      <c r="X641" s="146">
        <f t="shared" si="65"/>
        <v>30.163888888888888</v>
      </c>
    </row>
    <row r="642" spans="1:24" ht="9.75" customHeight="1" x14ac:dyDescent="0.25">
      <c r="A642" s="288">
        <v>1078</v>
      </c>
      <c r="B642" s="288"/>
      <c r="D642" s="258" t="s">
        <v>326</v>
      </c>
      <c r="E642" s="289">
        <v>42094</v>
      </c>
      <c r="F642" s="289"/>
      <c r="G642" s="289"/>
      <c r="H642" s="289"/>
      <c r="I642" s="290" t="s">
        <v>205</v>
      </c>
      <c r="J642" s="290"/>
      <c r="K642" s="290"/>
      <c r="L642" s="47">
        <v>33</v>
      </c>
      <c r="M642" s="262">
        <v>1038.46</v>
      </c>
      <c r="N642" s="47">
        <v>100</v>
      </c>
      <c r="O642" s="291">
        <v>55.07</v>
      </c>
      <c r="P642" s="291"/>
      <c r="Q642" s="291"/>
      <c r="R642" s="262">
        <v>31.470000000000002</v>
      </c>
      <c r="S642" s="262">
        <v>86.54</v>
      </c>
      <c r="U642" s="149">
        <f t="shared" si="62"/>
        <v>54139</v>
      </c>
      <c r="V642" s="146">
        <f t="shared" si="63"/>
        <v>2.75</v>
      </c>
      <c r="W642" s="150">
        <f t="shared" si="64"/>
        <v>30.25</v>
      </c>
      <c r="X642" s="146">
        <f t="shared" si="65"/>
        <v>30.25</v>
      </c>
    </row>
    <row r="643" spans="1:24" ht="9.75" customHeight="1" x14ac:dyDescent="0.25">
      <c r="A643" s="288">
        <v>1081</v>
      </c>
      <c r="B643" s="288"/>
      <c r="D643" s="258" t="s">
        <v>326</v>
      </c>
      <c r="E643" s="289">
        <v>42124</v>
      </c>
      <c r="F643" s="289"/>
      <c r="G643" s="289"/>
      <c r="H643" s="289"/>
      <c r="I643" s="290" t="s">
        <v>205</v>
      </c>
      <c r="J643" s="290"/>
      <c r="K643" s="290"/>
      <c r="L643" s="47">
        <v>33</v>
      </c>
      <c r="M643" s="262">
        <v>1557.69</v>
      </c>
      <c r="N643" s="47">
        <v>100</v>
      </c>
      <c r="O643" s="291">
        <v>78.67</v>
      </c>
      <c r="P643" s="291"/>
      <c r="Q643" s="291"/>
      <c r="R643" s="262">
        <v>47.2</v>
      </c>
      <c r="S643" s="262">
        <v>125.87</v>
      </c>
      <c r="U643" s="149">
        <f t="shared" si="62"/>
        <v>54169</v>
      </c>
      <c r="V643" s="146">
        <f t="shared" si="63"/>
        <v>2.6666666666666665</v>
      </c>
      <c r="W643" s="150">
        <f t="shared" si="64"/>
        <v>30.333333333333332</v>
      </c>
      <c r="X643" s="146">
        <f t="shared" si="65"/>
        <v>30.333333333333332</v>
      </c>
    </row>
    <row r="644" spans="1:24" ht="9.75" customHeight="1" x14ac:dyDescent="0.25">
      <c r="A644" s="288">
        <v>1084</v>
      </c>
      <c r="B644" s="288"/>
      <c r="D644" s="258" t="s">
        <v>326</v>
      </c>
      <c r="E644" s="289">
        <v>42155</v>
      </c>
      <c r="F644" s="289"/>
      <c r="G644" s="289"/>
      <c r="H644" s="289"/>
      <c r="I644" s="290" t="s">
        <v>205</v>
      </c>
      <c r="J644" s="290"/>
      <c r="K644" s="290"/>
      <c r="L644" s="47">
        <v>33</v>
      </c>
      <c r="M644" s="262">
        <v>1038.46</v>
      </c>
      <c r="N644" s="47">
        <v>100</v>
      </c>
      <c r="O644" s="291">
        <v>49.83</v>
      </c>
      <c r="P644" s="291"/>
      <c r="Q644" s="291"/>
      <c r="R644" s="262">
        <v>31.470000000000002</v>
      </c>
      <c r="S644" s="262">
        <v>81.3</v>
      </c>
      <c r="U644" s="149">
        <f t="shared" si="62"/>
        <v>54200</v>
      </c>
      <c r="V644" s="146">
        <f t="shared" si="63"/>
        <v>2.5833333333333335</v>
      </c>
      <c r="W644" s="150">
        <f t="shared" si="64"/>
        <v>30.416666666666668</v>
      </c>
      <c r="X644" s="146">
        <f t="shared" si="65"/>
        <v>30.416666666666668</v>
      </c>
    </row>
    <row r="645" spans="1:24" ht="9.75" customHeight="1" x14ac:dyDescent="0.25">
      <c r="A645" s="288">
        <v>1087</v>
      </c>
      <c r="B645" s="288"/>
      <c r="D645" s="258" t="s">
        <v>326</v>
      </c>
      <c r="E645" s="289">
        <v>42185</v>
      </c>
      <c r="F645" s="289"/>
      <c r="G645" s="289"/>
      <c r="H645" s="289"/>
      <c r="I645" s="290" t="s">
        <v>205</v>
      </c>
      <c r="J645" s="290"/>
      <c r="K645" s="290"/>
      <c r="L645" s="47">
        <v>33</v>
      </c>
      <c r="M645" s="262">
        <v>1038.46</v>
      </c>
      <c r="N645" s="47">
        <v>100</v>
      </c>
      <c r="O645" s="291">
        <v>47.21</v>
      </c>
      <c r="P645" s="291"/>
      <c r="Q645" s="291"/>
      <c r="R645" s="262">
        <v>31.470000000000002</v>
      </c>
      <c r="S645" s="262">
        <v>78.680000000000007</v>
      </c>
      <c r="U645" s="149">
        <f t="shared" si="62"/>
        <v>54230</v>
      </c>
      <c r="V645" s="146">
        <f t="shared" si="63"/>
        <v>2.5</v>
      </c>
      <c r="W645" s="150">
        <f t="shared" si="64"/>
        <v>30.5</v>
      </c>
      <c r="X645" s="146">
        <f t="shared" si="65"/>
        <v>30.5</v>
      </c>
    </row>
    <row r="646" spans="1:24" ht="9.75" customHeight="1" x14ac:dyDescent="0.25">
      <c r="A646" s="288">
        <v>1090</v>
      </c>
      <c r="B646" s="288"/>
      <c r="D646" s="258" t="s">
        <v>326</v>
      </c>
      <c r="E646" s="289">
        <v>42216</v>
      </c>
      <c r="F646" s="289"/>
      <c r="G646" s="289"/>
      <c r="H646" s="289"/>
      <c r="I646" s="290" t="s">
        <v>205</v>
      </c>
      <c r="J646" s="290"/>
      <c r="K646" s="290"/>
      <c r="L646" s="47">
        <v>33</v>
      </c>
      <c r="M646" s="262">
        <v>1096.1500000000001</v>
      </c>
      <c r="N646" s="47">
        <v>100</v>
      </c>
      <c r="O646" s="291">
        <v>47.06</v>
      </c>
      <c r="P646" s="291"/>
      <c r="Q646" s="291"/>
      <c r="R646" s="262">
        <v>33.22</v>
      </c>
      <c r="S646" s="262">
        <v>80.28</v>
      </c>
      <c r="U646" s="149">
        <f t="shared" si="62"/>
        <v>54261</v>
      </c>
      <c r="V646" s="146">
        <f t="shared" si="63"/>
        <v>2.4166666666666665</v>
      </c>
      <c r="W646" s="150">
        <f t="shared" si="64"/>
        <v>30.583333333333332</v>
      </c>
      <c r="X646" s="146">
        <f t="shared" si="65"/>
        <v>30.583333333333332</v>
      </c>
    </row>
    <row r="647" spans="1:24" ht="9.75" customHeight="1" x14ac:dyDescent="0.25">
      <c r="A647" s="288">
        <v>1093</v>
      </c>
      <c r="B647" s="288"/>
      <c r="D647" s="258" t="s">
        <v>326</v>
      </c>
      <c r="E647" s="289">
        <v>42247</v>
      </c>
      <c r="F647" s="289"/>
      <c r="G647" s="289"/>
      <c r="H647" s="289"/>
      <c r="I647" s="290" t="s">
        <v>205</v>
      </c>
      <c r="J647" s="290"/>
      <c r="K647" s="290"/>
      <c r="L647" s="47">
        <v>33</v>
      </c>
      <c r="M647" s="262">
        <v>1153.8499999999999</v>
      </c>
      <c r="N647" s="47">
        <v>100</v>
      </c>
      <c r="O647" s="291">
        <v>46.63</v>
      </c>
      <c r="P647" s="291"/>
      <c r="Q647" s="291"/>
      <c r="R647" s="262">
        <v>34.97</v>
      </c>
      <c r="S647" s="262">
        <v>81.599999999999994</v>
      </c>
      <c r="U647" s="149">
        <f t="shared" si="62"/>
        <v>54292</v>
      </c>
      <c r="V647" s="146">
        <f t="shared" si="63"/>
        <v>2.3333333333333335</v>
      </c>
      <c r="W647" s="150">
        <f t="shared" si="64"/>
        <v>30.666666666666668</v>
      </c>
      <c r="X647" s="146">
        <f t="shared" si="65"/>
        <v>30.666666666666668</v>
      </c>
    </row>
    <row r="648" spans="1:24" ht="9.75" customHeight="1" x14ac:dyDescent="0.25">
      <c r="A648" s="288">
        <v>1096</v>
      </c>
      <c r="B648" s="288"/>
      <c r="D648" s="258" t="s">
        <v>326</v>
      </c>
      <c r="E648" s="289">
        <v>42277</v>
      </c>
      <c r="F648" s="289"/>
      <c r="G648" s="289"/>
      <c r="H648" s="289"/>
      <c r="I648" s="290" t="s">
        <v>205</v>
      </c>
      <c r="J648" s="290"/>
      <c r="K648" s="290"/>
      <c r="L648" s="47">
        <v>33</v>
      </c>
      <c r="M648" s="262">
        <v>1730.77</v>
      </c>
      <c r="N648" s="47">
        <v>100</v>
      </c>
      <c r="O648" s="291">
        <v>65.56</v>
      </c>
      <c r="P648" s="291"/>
      <c r="Q648" s="291"/>
      <c r="R648" s="262">
        <v>52.45</v>
      </c>
      <c r="S648" s="262">
        <v>118.01</v>
      </c>
      <c r="U648" s="149">
        <f t="shared" si="62"/>
        <v>54322</v>
      </c>
      <c r="V648" s="146">
        <f t="shared" si="63"/>
        <v>2.25</v>
      </c>
      <c r="W648" s="150">
        <f t="shared" si="64"/>
        <v>30.75</v>
      </c>
      <c r="X648" s="146">
        <f t="shared" si="65"/>
        <v>30.75</v>
      </c>
    </row>
    <row r="649" spans="1:24" ht="9.75" customHeight="1" x14ac:dyDescent="0.25">
      <c r="A649" s="288">
        <v>1099</v>
      </c>
      <c r="B649" s="288"/>
      <c r="D649" s="258" t="s">
        <v>326</v>
      </c>
      <c r="E649" s="289">
        <v>42308</v>
      </c>
      <c r="F649" s="289"/>
      <c r="G649" s="289"/>
      <c r="H649" s="289"/>
      <c r="I649" s="290" t="s">
        <v>205</v>
      </c>
      <c r="J649" s="290"/>
      <c r="K649" s="290"/>
      <c r="L649" s="47">
        <v>33</v>
      </c>
      <c r="M649" s="262">
        <v>1153.8399999999999</v>
      </c>
      <c r="N649" s="47">
        <v>100</v>
      </c>
      <c r="O649" s="291">
        <v>40.79</v>
      </c>
      <c r="P649" s="291"/>
      <c r="Q649" s="291"/>
      <c r="R649" s="262">
        <v>34.96</v>
      </c>
      <c r="S649" s="262">
        <v>75.75</v>
      </c>
      <c r="U649" s="149">
        <f t="shared" si="62"/>
        <v>54353</v>
      </c>
      <c r="V649" s="146">
        <f t="shared" si="63"/>
        <v>2.1666666666666665</v>
      </c>
      <c r="W649" s="150">
        <f t="shared" si="64"/>
        <v>30.833333333333332</v>
      </c>
      <c r="X649" s="146">
        <f t="shared" si="65"/>
        <v>30.833333333333332</v>
      </c>
    </row>
    <row r="650" spans="1:24" ht="9.75" customHeight="1" x14ac:dyDescent="0.25">
      <c r="A650" s="288">
        <v>1100</v>
      </c>
      <c r="B650" s="288"/>
      <c r="D650" s="258" t="s">
        <v>326</v>
      </c>
      <c r="E650" s="289">
        <v>42370</v>
      </c>
      <c r="F650" s="289"/>
      <c r="G650" s="289"/>
      <c r="H650" s="289"/>
      <c r="I650" s="290" t="s">
        <v>205</v>
      </c>
      <c r="J650" s="290"/>
      <c r="K650" s="290"/>
      <c r="L650" s="47">
        <v>33</v>
      </c>
      <c r="M650" s="262">
        <v>1182.69</v>
      </c>
      <c r="N650" s="47">
        <v>100</v>
      </c>
      <c r="O650" s="291">
        <v>35.840000000000003</v>
      </c>
      <c r="P650" s="291"/>
      <c r="Q650" s="291"/>
      <c r="R650" s="262">
        <v>35.840000000000003</v>
      </c>
      <c r="S650" s="262">
        <v>71.680000000000007</v>
      </c>
      <c r="U650" s="149">
        <f t="shared" si="62"/>
        <v>54415</v>
      </c>
      <c r="V650" s="146">
        <f t="shared" si="63"/>
        <v>2</v>
      </c>
      <c r="W650" s="150">
        <f t="shared" si="64"/>
        <v>31</v>
      </c>
      <c r="X650" s="146">
        <f t="shared" si="65"/>
        <v>31</v>
      </c>
    </row>
    <row r="651" spans="1:24" ht="9.75" customHeight="1" x14ac:dyDescent="0.25">
      <c r="A651" s="288">
        <v>1102</v>
      </c>
      <c r="B651" s="288"/>
      <c r="D651" s="258" t="s">
        <v>326</v>
      </c>
      <c r="E651" s="289">
        <v>42338</v>
      </c>
      <c r="F651" s="289"/>
      <c r="G651" s="289"/>
      <c r="H651" s="289"/>
      <c r="I651" s="290" t="s">
        <v>205</v>
      </c>
      <c r="J651" s="290"/>
      <c r="K651" s="290"/>
      <c r="L651" s="47">
        <v>33</v>
      </c>
      <c r="M651" s="262">
        <v>1153.8499999999999</v>
      </c>
      <c r="N651" s="47">
        <v>100</v>
      </c>
      <c r="O651" s="291">
        <v>37.880000000000003</v>
      </c>
      <c r="P651" s="291"/>
      <c r="Q651" s="291"/>
      <c r="R651" s="262">
        <v>34.97</v>
      </c>
      <c r="S651" s="262">
        <v>72.849999999999994</v>
      </c>
      <c r="U651" s="149">
        <f t="shared" si="62"/>
        <v>54383</v>
      </c>
      <c r="V651" s="146">
        <f t="shared" si="63"/>
        <v>2.0833333333333335</v>
      </c>
      <c r="W651" s="150">
        <f t="shared" si="64"/>
        <v>30.916666666666668</v>
      </c>
      <c r="X651" s="146">
        <f t="shared" si="65"/>
        <v>30.916666666666668</v>
      </c>
    </row>
    <row r="652" spans="1:24" ht="9.75" customHeight="1" x14ac:dyDescent="0.25">
      <c r="A652" s="288">
        <v>1105</v>
      </c>
      <c r="B652" s="288"/>
      <c r="D652" s="258" t="s">
        <v>326</v>
      </c>
      <c r="E652" s="289">
        <v>42369</v>
      </c>
      <c r="F652" s="289"/>
      <c r="G652" s="289"/>
      <c r="H652" s="289"/>
      <c r="I652" s="290" t="s">
        <v>205</v>
      </c>
      <c r="J652" s="290"/>
      <c r="K652" s="290"/>
      <c r="L652" s="47">
        <v>33</v>
      </c>
      <c r="M652" s="262">
        <v>1153.8499999999999</v>
      </c>
      <c r="N652" s="47">
        <v>100</v>
      </c>
      <c r="O652" s="291">
        <v>34.97</v>
      </c>
      <c r="P652" s="291"/>
      <c r="Q652" s="291"/>
      <c r="R652" s="262">
        <v>34.97</v>
      </c>
      <c r="S652" s="262">
        <v>69.94</v>
      </c>
      <c r="U652" s="149">
        <f t="shared" si="62"/>
        <v>54414</v>
      </c>
      <c r="V652" s="146">
        <f t="shared" si="63"/>
        <v>2</v>
      </c>
      <c r="W652" s="150">
        <f t="shared" si="64"/>
        <v>31</v>
      </c>
      <c r="X652" s="146">
        <f t="shared" si="65"/>
        <v>31</v>
      </c>
    </row>
    <row r="653" spans="1:24" ht="9.75" customHeight="1" x14ac:dyDescent="0.25">
      <c r="A653" s="288">
        <v>1107</v>
      </c>
      <c r="B653" s="288"/>
      <c r="D653" s="258" t="s">
        <v>326</v>
      </c>
      <c r="E653" s="289">
        <v>42429</v>
      </c>
      <c r="F653" s="289"/>
      <c r="G653" s="289"/>
      <c r="H653" s="289"/>
      <c r="I653" s="290" t="s">
        <v>205</v>
      </c>
      <c r="J653" s="290"/>
      <c r="K653" s="290"/>
      <c r="L653" s="47">
        <v>33</v>
      </c>
      <c r="M653" s="262">
        <v>1182.69</v>
      </c>
      <c r="N653" s="47">
        <v>100</v>
      </c>
      <c r="O653" s="291">
        <v>29.87</v>
      </c>
      <c r="P653" s="291"/>
      <c r="Q653" s="291"/>
      <c r="R653" s="262">
        <v>35.840000000000003</v>
      </c>
      <c r="S653" s="262">
        <v>65.709999999999994</v>
      </c>
      <c r="U653" s="149">
        <f t="shared" si="62"/>
        <v>54474</v>
      </c>
      <c r="V653" s="146">
        <f t="shared" si="63"/>
        <v>1.836111111111111</v>
      </c>
      <c r="W653" s="150">
        <f t="shared" si="64"/>
        <v>31.163888888888888</v>
      </c>
      <c r="X653" s="146">
        <f t="shared" si="65"/>
        <v>31.163888888888888</v>
      </c>
    </row>
    <row r="654" spans="1:24" ht="9.75" customHeight="1" x14ac:dyDescent="0.25">
      <c r="A654" s="288">
        <v>1110</v>
      </c>
      <c r="B654" s="288"/>
      <c r="D654" s="258" t="s">
        <v>326</v>
      </c>
      <c r="E654" s="289">
        <v>42460</v>
      </c>
      <c r="F654" s="289"/>
      <c r="G654" s="289"/>
      <c r="H654" s="289"/>
      <c r="I654" s="290" t="s">
        <v>205</v>
      </c>
      <c r="J654" s="290"/>
      <c r="K654" s="290"/>
      <c r="L654" s="47">
        <v>33</v>
      </c>
      <c r="M654" s="262">
        <v>1774.04</v>
      </c>
      <c r="N654" s="47">
        <v>100</v>
      </c>
      <c r="O654" s="291">
        <v>40.32</v>
      </c>
      <c r="P654" s="291"/>
      <c r="Q654" s="291"/>
      <c r="R654" s="262">
        <v>53.76</v>
      </c>
      <c r="S654" s="262">
        <v>94.08</v>
      </c>
      <c r="U654" s="149">
        <f t="shared" si="62"/>
        <v>54505</v>
      </c>
      <c r="V654" s="146">
        <f t="shared" si="63"/>
        <v>1.75</v>
      </c>
      <c r="W654" s="150">
        <f t="shared" si="64"/>
        <v>31.25</v>
      </c>
      <c r="X654" s="146">
        <f t="shared" si="65"/>
        <v>31.25</v>
      </c>
    </row>
    <row r="655" spans="1:24" ht="9.75" customHeight="1" x14ac:dyDescent="0.25">
      <c r="A655" s="288">
        <v>1114</v>
      </c>
      <c r="B655" s="288"/>
      <c r="D655" s="258" t="s">
        <v>326</v>
      </c>
      <c r="E655" s="289">
        <v>42490</v>
      </c>
      <c r="F655" s="289"/>
      <c r="G655" s="289"/>
      <c r="H655" s="289"/>
      <c r="I655" s="290" t="s">
        <v>205</v>
      </c>
      <c r="J655" s="290"/>
      <c r="K655" s="290"/>
      <c r="L655" s="47">
        <v>33</v>
      </c>
      <c r="M655" s="262">
        <v>1182.69</v>
      </c>
      <c r="N655" s="47">
        <v>100</v>
      </c>
      <c r="O655" s="291">
        <v>23.89</v>
      </c>
      <c r="P655" s="291"/>
      <c r="Q655" s="291"/>
      <c r="R655" s="262">
        <v>35.840000000000003</v>
      </c>
      <c r="S655" s="262">
        <v>59.730000000000004</v>
      </c>
      <c r="U655" s="149">
        <f t="shared" si="62"/>
        <v>54535</v>
      </c>
      <c r="V655" s="146">
        <f t="shared" si="63"/>
        <v>1.6666666666666667</v>
      </c>
      <c r="W655" s="150">
        <f t="shared" si="64"/>
        <v>31.333333333333332</v>
      </c>
      <c r="X655" s="146">
        <f t="shared" si="65"/>
        <v>31.333333333333332</v>
      </c>
    </row>
    <row r="656" spans="1:24" ht="9.75" customHeight="1" x14ac:dyDescent="0.25">
      <c r="A656" s="288">
        <v>1117</v>
      </c>
      <c r="B656" s="288"/>
      <c r="D656" s="258" t="s">
        <v>326</v>
      </c>
      <c r="E656" s="289">
        <v>42521</v>
      </c>
      <c r="F656" s="289"/>
      <c r="G656" s="289"/>
      <c r="H656" s="289"/>
      <c r="I656" s="290" t="s">
        <v>205</v>
      </c>
      <c r="J656" s="290"/>
      <c r="K656" s="290"/>
      <c r="L656" s="47">
        <v>33</v>
      </c>
      <c r="M656" s="262">
        <v>1182.69</v>
      </c>
      <c r="N656" s="47">
        <v>100</v>
      </c>
      <c r="O656" s="291">
        <v>20.91</v>
      </c>
      <c r="P656" s="291"/>
      <c r="Q656" s="291"/>
      <c r="R656" s="262">
        <v>35.840000000000003</v>
      </c>
      <c r="S656" s="262">
        <v>56.75</v>
      </c>
      <c r="U656" s="149">
        <f t="shared" si="62"/>
        <v>54566</v>
      </c>
      <c r="V656" s="146">
        <f t="shared" si="63"/>
        <v>1.5833333333333333</v>
      </c>
      <c r="W656" s="150">
        <f t="shared" si="64"/>
        <v>31.416666666666668</v>
      </c>
      <c r="X656" s="146">
        <f t="shared" si="65"/>
        <v>31.416666666666668</v>
      </c>
    </row>
    <row r="657" spans="1:24" ht="9.75" customHeight="1" x14ac:dyDescent="0.25">
      <c r="A657" s="288">
        <v>1122</v>
      </c>
      <c r="B657" s="288"/>
      <c r="D657" s="258" t="s">
        <v>326</v>
      </c>
      <c r="E657" s="289">
        <v>42551</v>
      </c>
      <c r="F657" s="289"/>
      <c r="G657" s="289"/>
      <c r="H657" s="289"/>
      <c r="I657" s="290" t="s">
        <v>205</v>
      </c>
      <c r="J657" s="290"/>
      <c r="K657" s="290"/>
      <c r="L657" s="47">
        <v>33</v>
      </c>
      <c r="M657" s="262">
        <v>1240.3800000000001</v>
      </c>
      <c r="N657" s="47">
        <v>100</v>
      </c>
      <c r="O657" s="291">
        <v>18.8</v>
      </c>
      <c r="P657" s="291"/>
      <c r="Q657" s="291"/>
      <c r="R657" s="262">
        <v>37.590000000000003</v>
      </c>
      <c r="S657" s="262">
        <v>56.39</v>
      </c>
      <c r="U657" s="149">
        <f t="shared" si="62"/>
        <v>54596</v>
      </c>
      <c r="V657" s="146">
        <f t="shared" si="63"/>
        <v>1.5</v>
      </c>
      <c r="W657" s="150">
        <f t="shared" si="64"/>
        <v>31.5</v>
      </c>
      <c r="X657" s="146">
        <f t="shared" si="65"/>
        <v>31.5</v>
      </c>
    </row>
    <row r="658" spans="1:24" ht="9.75" customHeight="1" x14ac:dyDescent="0.25">
      <c r="A658" s="288">
        <v>1125</v>
      </c>
      <c r="B658" s="288"/>
      <c r="D658" s="258" t="s">
        <v>326</v>
      </c>
      <c r="E658" s="289">
        <v>42582</v>
      </c>
      <c r="F658" s="289"/>
      <c r="G658" s="289"/>
      <c r="H658" s="289"/>
      <c r="I658" s="290" t="s">
        <v>205</v>
      </c>
      <c r="J658" s="290"/>
      <c r="K658" s="290"/>
      <c r="L658" s="47">
        <v>33</v>
      </c>
      <c r="M658" s="262">
        <v>1969.1100000000001</v>
      </c>
      <c r="N658" s="47">
        <v>100</v>
      </c>
      <c r="O658" s="291">
        <v>24.86</v>
      </c>
      <c r="P658" s="291"/>
      <c r="Q658" s="291"/>
      <c r="R658" s="262">
        <v>59.67</v>
      </c>
      <c r="S658" s="262">
        <v>84.53</v>
      </c>
      <c r="U658" s="149">
        <f t="shared" si="62"/>
        <v>54627</v>
      </c>
      <c r="V658" s="146">
        <f t="shared" si="63"/>
        <v>1.4166666666666667</v>
      </c>
      <c r="W658" s="150">
        <f t="shared" si="64"/>
        <v>31.583333333333332</v>
      </c>
      <c r="X658" s="146">
        <f t="shared" si="65"/>
        <v>31.583333333333332</v>
      </c>
    </row>
    <row r="659" spans="1:24" ht="9.75" customHeight="1" x14ac:dyDescent="0.25">
      <c r="A659" s="288">
        <v>1129</v>
      </c>
      <c r="B659" s="288"/>
      <c r="D659" s="258" t="s">
        <v>326</v>
      </c>
      <c r="E659" s="289">
        <v>42613</v>
      </c>
      <c r="F659" s="289"/>
      <c r="G659" s="289"/>
      <c r="H659" s="289"/>
      <c r="I659" s="290" t="s">
        <v>205</v>
      </c>
      <c r="J659" s="290"/>
      <c r="K659" s="290"/>
      <c r="L659" s="47">
        <v>33</v>
      </c>
      <c r="M659" s="262">
        <v>1947.1200000000001</v>
      </c>
      <c r="N659" s="47">
        <v>100</v>
      </c>
      <c r="O659" s="291">
        <v>19.670000000000002</v>
      </c>
      <c r="P659" s="291"/>
      <c r="Q659" s="291"/>
      <c r="R659" s="262">
        <v>59</v>
      </c>
      <c r="S659" s="262">
        <v>78.67</v>
      </c>
      <c r="U659" s="149">
        <f t="shared" si="62"/>
        <v>54658</v>
      </c>
      <c r="V659" s="146">
        <f t="shared" si="63"/>
        <v>1.3333333333333333</v>
      </c>
      <c r="W659" s="150">
        <f t="shared" si="64"/>
        <v>31.666666666666668</v>
      </c>
      <c r="X659" s="146">
        <f t="shared" si="65"/>
        <v>31.666666666666668</v>
      </c>
    </row>
    <row r="660" spans="1:24" ht="9.75" customHeight="1" x14ac:dyDescent="0.25">
      <c r="A660" s="288">
        <v>1132</v>
      </c>
      <c r="B660" s="288"/>
      <c r="D660" s="258" t="s">
        <v>326</v>
      </c>
      <c r="E660" s="289">
        <v>42643</v>
      </c>
      <c r="F660" s="289"/>
      <c r="G660" s="289"/>
      <c r="H660" s="289"/>
      <c r="I660" s="290" t="s">
        <v>205</v>
      </c>
      <c r="J660" s="290"/>
      <c r="K660" s="290"/>
      <c r="L660" s="47">
        <v>33</v>
      </c>
      <c r="M660" s="262">
        <v>1298.08</v>
      </c>
      <c r="N660" s="47">
        <v>100</v>
      </c>
      <c r="O660" s="291">
        <v>9.84</v>
      </c>
      <c r="P660" s="291"/>
      <c r="Q660" s="291"/>
      <c r="R660" s="262">
        <v>39.340000000000003</v>
      </c>
      <c r="S660" s="262">
        <v>49.18</v>
      </c>
      <c r="U660" s="149">
        <f t="shared" si="62"/>
        <v>54688</v>
      </c>
      <c r="V660" s="146">
        <f t="shared" si="63"/>
        <v>1.25</v>
      </c>
      <c r="W660" s="150">
        <f t="shared" si="64"/>
        <v>31.75</v>
      </c>
      <c r="X660" s="146">
        <f t="shared" si="65"/>
        <v>31.75</v>
      </c>
    </row>
    <row r="661" spans="1:24" ht="9.75" customHeight="1" x14ac:dyDescent="0.25">
      <c r="A661" s="288">
        <v>1135</v>
      </c>
      <c r="B661" s="288"/>
      <c r="D661" s="258" t="s">
        <v>326</v>
      </c>
      <c r="E661" s="289">
        <v>42674</v>
      </c>
      <c r="F661" s="289"/>
      <c r="G661" s="289"/>
      <c r="H661" s="289"/>
      <c r="I661" s="290" t="s">
        <v>205</v>
      </c>
      <c r="J661" s="290"/>
      <c r="K661" s="290"/>
      <c r="L661" s="47">
        <v>33</v>
      </c>
      <c r="M661" s="262">
        <v>1298.08</v>
      </c>
      <c r="N661" s="47">
        <v>100</v>
      </c>
      <c r="O661" s="291">
        <v>6.5600000000000005</v>
      </c>
      <c r="P661" s="291"/>
      <c r="Q661" s="291"/>
      <c r="R661" s="262">
        <v>39.340000000000003</v>
      </c>
      <c r="S661" s="262">
        <v>45.9</v>
      </c>
      <c r="U661" s="149">
        <f t="shared" si="62"/>
        <v>54719</v>
      </c>
      <c r="V661" s="146">
        <f t="shared" si="63"/>
        <v>1.1666666666666667</v>
      </c>
      <c r="W661" s="150">
        <f t="shared" si="64"/>
        <v>31.833333333333332</v>
      </c>
      <c r="X661" s="146">
        <f t="shared" si="65"/>
        <v>31.833333333333332</v>
      </c>
    </row>
    <row r="662" spans="1:24" ht="9.75" customHeight="1" x14ac:dyDescent="0.25">
      <c r="A662" s="288">
        <v>1138</v>
      </c>
      <c r="B662" s="288"/>
      <c r="D662" s="258" t="s">
        <v>326</v>
      </c>
      <c r="E662" s="289">
        <v>42704</v>
      </c>
      <c r="F662" s="289"/>
      <c r="G662" s="289"/>
      <c r="H662" s="289"/>
      <c r="I662" s="290" t="s">
        <v>205</v>
      </c>
      <c r="J662" s="290"/>
      <c r="K662" s="290"/>
      <c r="L662" s="47">
        <v>33</v>
      </c>
      <c r="M662" s="262">
        <v>1298.08</v>
      </c>
      <c r="N662" s="47">
        <v>100</v>
      </c>
      <c r="O662" s="291">
        <v>3.2800000000000002</v>
      </c>
      <c r="P662" s="291"/>
      <c r="Q662" s="291"/>
      <c r="R662" s="262">
        <v>39.340000000000003</v>
      </c>
      <c r="S662" s="262">
        <v>42.62</v>
      </c>
      <c r="U662" s="149">
        <f t="shared" si="62"/>
        <v>54749</v>
      </c>
      <c r="V662" s="146">
        <f t="shared" si="63"/>
        <v>1.0833333333333333</v>
      </c>
      <c r="W662" s="150">
        <f t="shared" si="64"/>
        <v>31.916666666666668</v>
      </c>
      <c r="X662" s="146">
        <f t="shared" si="65"/>
        <v>31.916666666666668</v>
      </c>
    </row>
    <row r="663" spans="1:24" ht="9.75" customHeight="1" x14ac:dyDescent="0.25">
      <c r="A663" s="288">
        <v>1141</v>
      </c>
      <c r="B663" s="288"/>
      <c r="D663" s="258" t="s">
        <v>326</v>
      </c>
      <c r="E663" s="289">
        <v>42735</v>
      </c>
      <c r="F663" s="289"/>
      <c r="G663" s="289"/>
      <c r="H663" s="289"/>
      <c r="I663" s="290" t="s">
        <v>205</v>
      </c>
      <c r="J663" s="290"/>
      <c r="K663" s="290"/>
      <c r="L663" s="47">
        <v>33</v>
      </c>
      <c r="M663" s="262">
        <v>1298.08</v>
      </c>
      <c r="N663" s="47">
        <v>100</v>
      </c>
      <c r="O663" s="291">
        <v>0</v>
      </c>
      <c r="P663" s="291"/>
      <c r="Q663" s="291"/>
      <c r="R663" s="262">
        <v>39.340000000000003</v>
      </c>
      <c r="S663" s="262">
        <v>39.340000000000003</v>
      </c>
      <c r="U663" s="149">
        <f t="shared" si="62"/>
        <v>54780</v>
      </c>
      <c r="V663" s="146">
        <f t="shared" si="63"/>
        <v>1</v>
      </c>
      <c r="W663" s="150">
        <f t="shared" si="64"/>
        <v>32</v>
      </c>
      <c r="X663" s="146">
        <f t="shared" si="65"/>
        <v>32</v>
      </c>
    </row>
    <row r="664" spans="1:24" ht="9.75" customHeight="1" x14ac:dyDescent="0.25">
      <c r="A664" s="288">
        <v>1145</v>
      </c>
      <c r="B664" s="288"/>
      <c r="D664" s="258" t="s">
        <v>326</v>
      </c>
      <c r="E664" s="289">
        <v>42766</v>
      </c>
      <c r="F664" s="289"/>
      <c r="G664" s="289"/>
      <c r="H664" s="289"/>
      <c r="I664" s="290" t="s">
        <v>205</v>
      </c>
      <c r="J664" s="290"/>
      <c r="K664" s="290"/>
      <c r="L664" s="47">
        <v>33</v>
      </c>
      <c r="M664" s="262">
        <v>477.98</v>
      </c>
      <c r="N664" s="47">
        <v>100</v>
      </c>
      <c r="O664" s="291">
        <v>0</v>
      </c>
      <c r="P664" s="291"/>
      <c r="Q664" s="291"/>
      <c r="R664" s="262">
        <v>13.27</v>
      </c>
      <c r="S664" s="262">
        <v>13.27</v>
      </c>
      <c r="U664" s="149">
        <f t="shared" si="62"/>
        <v>54811</v>
      </c>
      <c r="V664" s="146">
        <f t="shared" si="63"/>
        <v>0.91666666666666663</v>
      </c>
      <c r="W664" s="150">
        <f t="shared" si="64"/>
        <v>32.083333333333336</v>
      </c>
      <c r="X664" s="146">
        <f t="shared" si="65"/>
        <v>32.083333333333336</v>
      </c>
    </row>
    <row r="665" spans="1:24" ht="9.75" customHeight="1" x14ac:dyDescent="0.25">
      <c r="A665" s="288">
        <v>1148</v>
      </c>
      <c r="B665" s="288"/>
      <c r="D665" s="258" t="s">
        <v>326</v>
      </c>
      <c r="E665" s="289">
        <v>42794</v>
      </c>
      <c r="F665" s="289"/>
      <c r="G665" s="289"/>
      <c r="H665" s="289"/>
      <c r="I665" s="290" t="s">
        <v>205</v>
      </c>
      <c r="J665" s="290"/>
      <c r="K665" s="290"/>
      <c r="L665" s="47">
        <v>33</v>
      </c>
      <c r="M665" s="262">
        <v>1298.08</v>
      </c>
      <c r="N665" s="47">
        <v>100</v>
      </c>
      <c r="O665" s="291">
        <v>0</v>
      </c>
      <c r="P665" s="291"/>
      <c r="Q665" s="291"/>
      <c r="R665" s="262">
        <v>32.78</v>
      </c>
      <c r="S665" s="262">
        <v>32.78</v>
      </c>
      <c r="U665" s="149">
        <f t="shared" si="62"/>
        <v>54839</v>
      </c>
      <c r="V665" s="146">
        <f t="shared" si="63"/>
        <v>0.83611111111111114</v>
      </c>
      <c r="W665" s="150">
        <f t="shared" si="64"/>
        <v>32.163888888888891</v>
      </c>
      <c r="X665" s="146">
        <f t="shared" si="65"/>
        <v>32.163888888888891</v>
      </c>
    </row>
    <row r="666" spans="1:24" ht="9.75" customHeight="1" x14ac:dyDescent="0.25">
      <c r="A666" s="288">
        <v>1151</v>
      </c>
      <c r="B666" s="288"/>
      <c r="D666" s="258" t="s">
        <v>326</v>
      </c>
      <c r="E666" s="289">
        <v>42825</v>
      </c>
      <c r="F666" s="289"/>
      <c r="G666" s="289"/>
      <c r="H666" s="289"/>
      <c r="I666" s="290" t="s">
        <v>205</v>
      </c>
      <c r="J666" s="290"/>
      <c r="K666" s="290"/>
      <c r="L666" s="47">
        <v>33</v>
      </c>
      <c r="M666" s="262">
        <v>1947.1200000000001</v>
      </c>
      <c r="N666" s="47">
        <v>100</v>
      </c>
      <c r="O666" s="291">
        <v>0</v>
      </c>
      <c r="P666" s="291"/>
      <c r="Q666" s="291"/>
      <c r="R666" s="262">
        <v>44.25</v>
      </c>
      <c r="S666" s="262">
        <v>44.25</v>
      </c>
      <c r="U666" s="149">
        <f t="shared" si="62"/>
        <v>54870</v>
      </c>
      <c r="V666" s="146">
        <f t="shared" si="63"/>
        <v>0.75</v>
      </c>
      <c r="W666" s="150">
        <f t="shared" si="64"/>
        <v>32.25</v>
      </c>
      <c r="X666" s="146">
        <f t="shared" si="65"/>
        <v>32.25</v>
      </c>
    </row>
    <row r="667" spans="1:24" ht="9.75" customHeight="1" x14ac:dyDescent="0.25">
      <c r="A667" s="288">
        <v>1155</v>
      </c>
      <c r="B667" s="288"/>
      <c r="D667" s="258" t="s">
        <v>326</v>
      </c>
      <c r="E667" s="289">
        <v>42855</v>
      </c>
      <c r="F667" s="289"/>
      <c r="G667" s="289"/>
      <c r="H667" s="289"/>
      <c r="I667" s="290" t="s">
        <v>205</v>
      </c>
      <c r="J667" s="290"/>
      <c r="K667" s="290"/>
      <c r="L667" s="47">
        <v>33</v>
      </c>
      <c r="M667" s="262">
        <v>1298.08</v>
      </c>
      <c r="N667" s="47">
        <v>100</v>
      </c>
      <c r="O667" s="291">
        <v>0</v>
      </c>
      <c r="P667" s="291"/>
      <c r="Q667" s="291"/>
      <c r="R667" s="262">
        <v>26.23</v>
      </c>
      <c r="S667" s="262">
        <v>26.23</v>
      </c>
      <c r="U667" s="149">
        <f t="shared" si="62"/>
        <v>54900</v>
      </c>
      <c r="V667" s="146">
        <f t="shared" si="63"/>
        <v>0.66666666666666663</v>
      </c>
      <c r="W667" s="150">
        <f t="shared" si="64"/>
        <v>32.333333333333336</v>
      </c>
      <c r="X667" s="146">
        <f t="shared" si="65"/>
        <v>32.333333333333336</v>
      </c>
    </row>
    <row r="668" spans="1:24" ht="9.75" customHeight="1" x14ac:dyDescent="0.25">
      <c r="A668" s="288">
        <v>1158</v>
      </c>
      <c r="B668" s="288"/>
      <c r="D668" s="258" t="s">
        <v>326</v>
      </c>
      <c r="E668" s="289">
        <v>42886</v>
      </c>
      <c r="F668" s="289"/>
      <c r="G668" s="289"/>
      <c r="H668" s="289"/>
      <c r="I668" s="290" t="s">
        <v>205</v>
      </c>
      <c r="J668" s="290"/>
      <c r="K668" s="290"/>
      <c r="L668" s="47">
        <v>33</v>
      </c>
      <c r="M668" s="262">
        <v>1298.08</v>
      </c>
      <c r="N668" s="47">
        <v>100</v>
      </c>
      <c r="O668" s="291">
        <v>0</v>
      </c>
      <c r="P668" s="291"/>
      <c r="Q668" s="291"/>
      <c r="R668" s="262">
        <v>22.95</v>
      </c>
      <c r="S668" s="262">
        <v>22.95</v>
      </c>
      <c r="U668" s="149">
        <f t="shared" si="62"/>
        <v>54931</v>
      </c>
      <c r="V668" s="146">
        <f t="shared" si="63"/>
        <v>0.58333333333333337</v>
      </c>
      <c r="W668" s="150">
        <f t="shared" si="64"/>
        <v>32.416666666666664</v>
      </c>
      <c r="X668" s="146">
        <f t="shared" si="65"/>
        <v>32.416666666666664</v>
      </c>
    </row>
    <row r="669" spans="1:24" ht="9.75" customHeight="1" x14ac:dyDescent="0.25">
      <c r="A669" s="288">
        <v>1161</v>
      </c>
      <c r="B669" s="288"/>
      <c r="D669" s="258" t="s">
        <v>326</v>
      </c>
      <c r="E669" s="289">
        <v>42916</v>
      </c>
      <c r="F669" s="289"/>
      <c r="G669" s="289"/>
      <c r="H669" s="289"/>
      <c r="I669" s="290" t="s">
        <v>205</v>
      </c>
      <c r="J669" s="290"/>
      <c r="K669" s="290"/>
      <c r="L669" s="47">
        <v>33</v>
      </c>
      <c r="M669" s="262">
        <v>1298.08</v>
      </c>
      <c r="N669" s="47">
        <v>100</v>
      </c>
      <c r="O669" s="291">
        <v>0</v>
      </c>
      <c r="P669" s="291"/>
      <c r="Q669" s="291"/>
      <c r="R669" s="262">
        <v>19.670000000000002</v>
      </c>
      <c r="S669" s="262">
        <v>19.670000000000002</v>
      </c>
      <c r="U669" s="149">
        <f t="shared" si="62"/>
        <v>54961</v>
      </c>
      <c r="V669" s="146">
        <f t="shared" si="63"/>
        <v>0.5</v>
      </c>
      <c r="W669" s="150">
        <f t="shared" si="64"/>
        <v>32.5</v>
      </c>
      <c r="X669" s="146">
        <f t="shared" si="65"/>
        <v>32.5</v>
      </c>
    </row>
    <row r="670" spans="1:24" ht="9.75" customHeight="1" x14ac:dyDescent="0.25">
      <c r="A670" s="288">
        <v>1164</v>
      </c>
      <c r="B670" s="288"/>
      <c r="D670" s="258" t="s">
        <v>326</v>
      </c>
      <c r="E670" s="289">
        <v>42947</v>
      </c>
      <c r="F670" s="289"/>
      <c r="G670" s="289"/>
      <c r="H670" s="289"/>
      <c r="I670" s="290" t="s">
        <v>205</v>
      </c>
      <c r="J670" s="290"/>
      <c r="K670" s="290"/>
      <c r="L670" s="47">
        <v>33</v>
      </c>
      <c r="M670" s="262">
        <v>1298.08</v>
      </c>
      <c r="N670" s="47">
        <v>100</v>
      </c>
      <c r="O670" s="291">
        <v>0</v>
      </c>
      <c r="P670" s="291"/>
      <c r="Q670" s="291"/>
      <c r="R670" s="262">
        <v>16.39</v>
      </c>
      <c r="S670" s="262">
        <v>16.39</v>
      </c>
      <c r="U670" s="149">
        <f t="shared" si="62"/>
        <v>54992</v>
      </c>
      <c r="V670" s="146">
        <f t="shared" si="63"/>
        <v>0.41666666666666669</v>
      </c>
      <c r="W670" s="150">
        <f t="shared" si="64"/>
        <v>32.583333333333336</v>
      </c>
      <c r="X670" s="146">
        <f t="shared" si="65"/>
        <v>32.583333333333336</v>
      </c>
    </row>
    <row r="671" spans="1:24" ht="9.75" customHeight="1" x14ac:dyDescent="0.25">
      <c r="A671" s="288">
        <v>1167</v>
      </c>
      <c r="B671" s="288"/>
      <c r="D671" s="258" t="s">
        <v>326</v>
      </c>
      <c r="E671" s="289">
        <v>42978</v>
      </c>
      <c r="F671" s="289"/>
      <c r="G671" s="289"/>
      <c r="H671" s="289"/>
      <c r="I671" s="290" t="s">
        <v>205</v>
      </c>
      <c r="J671" s="290"/>
      <c r="K671" s="290"/>
      <c r="L671" s="47">
        <v>33</v>
      </c>
      <c r="M671" s="262">
        <v>1947.1200000000001</v>
      </c>
      <c r="N671" s="47">
        <v>100</v>
      </c>
      <c r="O671" s="291">
        <v>0</v>
      </c>
      <c r="P671" s="291"/>
      <c r="Q671" s="291"/>
      <c r="R671" s="262">
        <v>19.670000000000002</v>
      </c>
      <c r="S671" s="262">
        <v>19.670000000000002</v>
      </c>
      <c r="U671" s="149">
        <f t="shared" si="62"/>
        <v>55023</v>
      </c>
      <c r="V671" s="146">
        <f t="shared" si="63"/>
        <v>0.33333333333333331</v>
      </c>
      <c r="W671" s="150">
        <f t="shared" ref="W671:W675" si="66">IF(V671&gt;L671,0,L671-V671)</f>
        <v>32.666666666666664</v>
      </c>
      <c r="X671" s="146">
        <f t="shared" ref="X671:X675" si="67">IF(W671=0,0,W671)</f>
        <v>32.666666666666664</v>
      </c>
    </row>
    <row r="672" spans="1:24" ht="9.75" customHeight="1" x14ac:dyDescent="0.25">
      <c r="A672" s="288">
        <v>1171</v>
      </c>
      <c r="B672" s="288"/>
      <c r="D672" s="258" t="s">
        <v>326</v>
      </c>
      <c r="E672" s="289">
        <v>43008</v>
      </c>
      <c r="F672" s="289"/>
      <c r="G672" s="289"/>
      <c r="H672" s="289"/>
      <c r="I672" s="290" t="s">
        <v>205</v>
      </c>
      <c r="J672" s="290"/>
      <c r="K672" s="290"/>
      <c r="L672" s="47">
        <v>33</v>
      </c>
      <c r="M672" s="262">
        <v>2272.6</v>
      </c>
      <c r="N672" s="47">
        <v>100</v>
      </c>
      <c r="O672" s="291">
        <v>0</v>
      </c>
      <c r="P672" s="291"/>
      <c r="Q672" s="291"/>
      <c r="R672" s="262">
        <v>17.22</v>
      </c>
      <c r="S672" s="262">
        <v>17.22</v>
      </c>
      <c r="U672" s="149">
        <f t="shared" si="62"/>
        <v>55053</v>
      </c>
      <c r="V672" s="146">
        <f t="shared" si="63"/>
        <v>0.25</v>
      </c>
      <c r="W672" s="150">
        <f t="shared" si="66"/>
        <v>32.75</v>
      </c>
      <c r="X672" s="146">
        <f t="shared" si="67"/>
        <v>32.75</v>
      </c>
    </row>
    <row r="673" spans="1:24" ht="9.75" customHeight="1" x14ac:dyDescent="0.25">
      <c r="A673" s="288">
        <v>1174</v>
      </c>
      <c r="B673" s="288"/>
      <c r="D673" s="258" t="s">
        <v>326</v>
      </c>
      <c r="E673" s="289">
        <v>43039</v>
      </c>
      <c r="F673" s="289"/>
      <c r="G673" s="289"/>
      <c r="H673" s="289"/>
      <c r="I673" s="290" t="s">
        <v>205</v>
      </c>
      <c r="J673" s="290"/>
      <c r="K673" s="290"/>
      <c r="L673" s="47">
        <v>33</v>
      </c>
      <c r="M673" s="262">
        <v>1298.08</v>
      </c>
      <c r="N673" s="47">
        <v>100</v>
      </c>
      <c r="O673" s="291">
        <v>0</v>
      </c>
      <c r="P673" s="291"/>
      <c r="Q673" s="291"/>
      <c r="R673" s="262">
        <v>6.5600000000000005</v>
      </c>
      <c r="S673" s="262">
        <v>6.5600000000000005</v>
      </c>
      <c r="U673" s="149">
        <f t="shared" si="62"/>
        <v>55084</v>
      </c>
      <c r="V673" s="146">
        <f t="shared" si="63"/>
        <v>0.16666666666666666</v>
      </c>
      <c r="W673" s="150">
        <f t="shared" si="66"/>
        <v>32.833333333333336</v>
      </c>
      <c r="X673" s="146">
        <f t="shared" si="67"/>
        <v>32.833333333333336</v>
      </c>
    </row>
    <row r="674" spans="1:24" ht="9.75" customHeight="1" x14ac:dyDescent="0.25">
      <c r="A674" s="288">
        <v>1177</v>
      </c>
      <c r="B674" s="288"/>
      <c r="D674" s="258" t="s">
        <v>70</v>
      </c>
      <c r="E674" s="289">
        <v>43069</v>
      </c>
      <c r="F674" s="289"/>
      <c r="G674" s="289"/>
      <c r="H674" s="289"/>
      <c r="I674" s="290" t="s">
        <v>205</v>
      </c>
      <c r="J674" s="290"/>
      <c r="K674" s="290"/>
      <c r="L674" s="47">
        <v>33</v>
      </c>
      <c r="M674" s="262">
        <v>6748.66</v>
      </c>
      <c r="N674" s="47">
        <v>100</v>
      </c>
      <c r="O674" s="291">
        <v>0</v>
      </c>
      <c r="P674" s="291"/>
      <c r="Q674" s="291"/>
      <c r="R674" s="262">
        <v>17.04</v>
      </c>
      <c r="S674" s="262">
        <v>17.04</v>
      </c>
      <c r="U674" s="149">
        <f t="shared" si="62"/>
        <v>55114</v>
      </c>
      <c r="V674" s="146">
        <f t="shared" si="63"/>
        <v>8.3333333333333329E-2</v>
      </c>
      <c r="W674" s="150">
        <f t="shared" si="66"/>
        <v>32.916666666666664</v>
      </c>
      <c r="X674" s="146">
        <f t="shared" si="67"/>
        <v>32.916666666666664</v>
      </c>
    </row>
    <row r="675" spans="1:24" ht="9.75" customHeight="1" x14ac:dyDescent="0.25">
      <c r="A675" s="288">
        <v>1180</v>
      </c>
      <c r="B675" s="288"/>
      <c r="D675" s="258" t="s">
        <v>70</v>
      </c>
      <c r="E675" s="289">
        <v>43100</v>
      </c>
      <c r="F675" s="289"/>
      <c r="G675" s="289"/>
      <c r="H675" s="289"/>
      <c r="I675" s="290" t="s">
        <v>205</v>
      </c>
      <c r="J675" s="290"/>
      <c r="K675" s="290"/>
      <c r="L675" s="47">
        <v>33</v>
      </c>
      <c r="M675" s="262">
        <v>6748.66</v>
      </c>
      <c r="N675" s="47">
        <v>100</v>
      </c>
      <c r="O675" s="291">
        <v>0</v>
      </c>
      <c r="P675" s="291"/>
      <c r="Q675" s="291"/>
      <c r="R675" s="262">
        <v>0</v>
      </c>
      <c r="S675" s="262">
        <v>0</v>
      </c>
      <c r="U675" s="149">
        <f t="shared" si="62"/>
        <v>55145</v>
      </c>
      <c r="V675" s="146">
        <f t="shared" si="63"/>
        <v>0</v>
      </c>
      <c r="W675" s="150">
        <f t="shared" si="66"/>
        <v>33</v>
      </c>
      <c r="X675" s="146">
        <f t="shared" si="67"/>
        <v>33</v>
      </c>
    </row>
    <row r="676" spans="1:24" ht="2.25" customHeight="1" x14ac:dyDescent="0.25">
      <c r="X676" s="146"/>
    </row>
    <row r="677" spans="1:24" ht="12" customHeight="1" x14ac:dyDescent="0.25">
      <c r="A677" s="283" t="s">
        <v>327</v>
      </c>
      <c r="B677" s="283"/>
      <c r="C677" s="283"/>
      <c r="D677" s="283"/>
      <c r="E677" s="283"/>
      <c r="F677" s="283"/>
      <c r="G677" s="283"/>
      <c r="M677" s="260">
        <v>335654.52</v>
      </c>
      <c r="O677" s="284">
        <v>103421.49</v>
      </c>
      <c r="P677" s="284"/>
      <c r="Q677" s="284"/>
      <c r="R677" s="260">
        <v>10684.74</v>
      </c>
      <c r="S677" s="260">
        <v>114106.23</v>
      </c>
      <c r="U677" s="281" t="s">
        <v>208</v>
      </c>
      <c r="V677" s="282"/>
      <c r="W677" s="147">
        <f>AVERAGE(W543:W675)</f>
        <v>26.135463659147863</v>
      </c>
      <c r="X677" s="147">
        <f>AVERAGE(X543:X675)</f>
        <v>26.135463659147863</v>
      </c>
    </row>
    <row r="678" spans="1:24" ht="14.25" customHeight="1" x14ac:dyDescent="0.25">
      <c r="B678" s="283" t="s">
        <v>209</v>
      </c>
      <c r="C678" s="283"/>
      <c r="D678" s="283"/>
      <c r="E678" s="283"/>
      <c r="F678" s="283"/>
      <c r="G678" s="283"/>
      <c r="H678" s="283"/>
      <c r="M678" s="261">
        <v>0</v>
      </c>
      <c r="O678" s="285">
        <v>0</v>
      </c>
      <c r="P678" s="285"/>
      <c r="Q678" s="285"/>
      <c r="R678" s="261">
        <v>0</v>
      </c>
      <c r="S678" s="261">
        <v>0</v>
      </c>
      <c r="X678" s="146"/>
    </row>
    <row r="679" spans="1:24" ht="9.75" customHeight="1" thickBot="1" x14ac:dyDescent="0.3">
      <c r="A679" s="283" t="s">
        <v>328</v>
      </c>
      <c r="B679" s="283"/>
      <c r="C679" s="283"/>
      <c r="D679" s="283"/>
      <c r="E679" s="283"/>
      <c r="F679" s="283"/>
      <c r="G679" s="283"/>
      <c r="M679" s="286">
        <v>335654.52</v>
      </c>
      <c r="O679" s="286">
        <v>103421.49</v>
      </c>
      <c r="P679" s="286"/>
      <c r="Q679" s="286"/>
      <c r="R679" s="286">
        <v>10684.74</v>
      </c>
      <c r="S679" s="286">
        <v>114106.23</v>
      </c>
      <c r="X679" s="146"/>
    </row>
    <row r="680" spans="1:24" ht="6" customHeight="1" thickTop="1" thickBot="1" x14ac:dyDescent="0.3">
      <c r="M680" s="286"/>
      <c r="O680" s="286"/>
      <c r="P680" s="286"/>
      <c r="Q680" s="286"/>
      <c r="R680" s="286"/>
      <c r="S680" s="286"/>
      <c r="X680" s="146"/>
    </row>
    <row r="681" spans="1:24" ht="2.25" customHeight="1" thickTop="1" x14ac:dyDescent="0.25">
      <c r="X681" s="146"/>
    </row>
    <row r="682" spans="1:24" ht="14.25" customHeight="1" x14ac:dyDescent="0.25">
      <c r="A682" s="283" t="s">
        <v>171</v>
      </c>
      <c r="B682" s="283"/>
      <c r="C682" s="283"/>
      <c r="D682" s="283"/>
      <c r="E682" s="283"/>
      <c r="F682" s="283"/>
      <c r="G682" s="283"/>
      <c r="H682" s="283"/>
      <c r="I682" s="283"/>
      <c r="J682" s="283"/>
      <c r="K682" s="283"/>
      <c r="L682" s="283"/>
      <c r="M682" s="283"/>
      <c r="N682" s="283"/>
      <c r="O682" s="283"/>
      <c r="P682" s="283"/>
      <c r="Q682" s="283"/>
      <c r="R682" s="283"/>
      <c r="S682" s="283"/>
      <c r="T682" s="283"/>
      <c r="U682" s="140" t="s">
        <v>201</v>
      </c>
      <c r="V682" s="141">
        <v>43100</v>
      </c>
      <c r="W682" s="140" t="s">
        <v>202</v>
      </c>
      <c r="X682" s="148" t="s">
        <v>203</v>
      </c>
    </row>
    <row r="683" spans="1:24" ht="2.25" customHeight="1" x14ac:dyDescent="0.25">
      <c r="W683" s="142"/>
      <c r="X683" s="146"/>
    </row>
    <row r="684" spans="1:24" ht="0.75" customHeight="1" x14ac:dyDescent="0.25">
      <c r="X684" s="146"/>
    </row>
    <row r="685" spans="1:24" ht="9.75" customHeight="1" x14ac:dyDescent="0.25">
      <c r="A685" s="288">
        <v>337</v>
      </c>
      <c r="B685" s="288"/>
      <c r="D685" s="258" t="s">
        <v>329</v>
      </c>
      <c r="E685" s="289">
        <v>36891</v>
      </c>
      <c r="F685" s="289"/>
      <c r="G685" s="289"/>
      <c r="H685" s="289"/>
      <c r="I685" s="290" t="s">
        <v>205</v>
      </c>
      <c r="J685" s="290"/>
      <c r="K685" s="290"/>
      <c r="L685" s="47">
        <v>10</v>
      </c>
      <c r="M685" s="262">
        <v>369</v>
      </c>
      <c r="N685" s="47">
        <v>100</v>
      </c>
      <c r="O685" s="291">
        <v>369</v>
      </c>
      <c r="P685" s="291"/>
      <c r="Q685" s="291"/>
      <c r="R685" s="262">
        <v>0</v>
      </c>
      <c r="S685" s="262">
        <v>369</v>
      </c>
      <c r="U685" s="149">
        <f>E685+(L685*365)</f>
        <v>40541</v>
      </c>
      <c r="V685" s="146">
        <f>YEARFRAC(E685,$V$14)</f>
        <v>17</v>
      </c>
      <c r="W685" s="150">
        <f>IF(V685&gt;L685,0,L685-V685)</f>
        <v>0</v>
      </c>
      <c r="X685" s="146">
        <f>IF(W685=0,0,W685)</f>
        <v>0</v>
      </c>
    </row>
    <row r="686" spans="1:24" ht="9.75" customHeight="1" x14ac:dyDescent="0.25">
      <c r="A686" s="288">
        <v>407</v>
      </c>
      <c r="B686" s="288"/>
      <c r="D686" s="258" t="s">
        <v>91</v>
      </c>
      <c r="E686" s="289">
        <v>37376</v>
      </c>
      <c r="F686" s="289"/>
      <c r="G686" s="289"/>
      <c r="H686" s="289"/>
      <c r="I686" s="290" t="s">
        <v>205</v>
      </c>
      <c r="J686" s="290"/>
      <c r="K686" s="290"/>
      <c r="L686" s="47">
        <v>10</v>
      </c>
      <c r="M686" s="262">
        <v>637.14</v>
      </c>
      <c r="N686" s="47">
        <v>100</v>
      </c>
      <c r="O686" s="291">
        <v>637.14</v>
      </c>
      <c r="P686" s="291"/>
      <c r="Q686" s="291"/>
      <c r="R686" s="262">
        <v>0</v>
      </c>
      <c r="S686" s="262">
        <v>637.14</v>
      </c>
      <c r="U686" s="149">
        <f>E686+(L686*365)</f>
        <v>41026</v>
      </c>
      <c r="V686" s="146">
        <f>YEARFRAC(E686,$V$14)</f>
        <v>15.666666666666666</v>
      </c>
      <c r="W686" s="150">
        <f>IF(V686&gt;L686,0,L686-V686)</f>
        <v>0</v>
      </c>
      <c r="X686" s="146">
        <f>IF(W686=0,0,W686)</f>
        <v>0</v>
      </c>
    </row>
    <row r="687" spans="1:24" ht="9.75" customHeight="1" x14ac:dyDescent="0.25">
      <c r="A687" s="288">
        <v>701</v>
      </c>
      <c r="B687" s="288"/>
      <c r="D687" s="258" t="s">
        <v>330</v>
      </c>
      <c r="E687" s="289">
        <v>39043</v>
      </c>
      <c r="F687" s="289"/>
      <c r="G687" s="289"/>
      <c r="H687" s="289"/>
      <c r="I687" s="290" t="s">
        <v>205</v>
      </c>
      <c r="J687" s="290"/>
      <c r="K687" s="290"/>
      <c r="L687" s="47">
        <v>10</v>
      </c>
      <c r="M687" s="262">
        <v>2426.56</v>
      </c>
      <c r="N687" s="47">
        <v>100</v>
      </c>
      <c r="O687" s="291">
        <v>2426.56</v>
      </c>
      <c r="P687" s="291"/>
      <c r="Q687" s="291"/>
      <c r="R687" s="262">
        <v>0</v>
      </c>
      <c r="S687" s="262">
        <v>2426.56</v>
      </c>
      <c r="U687" s="149">
        <f>E687+(L687*365)</f>
        <v>42693</v>
      </c>
      <c r="V687" s="146">
        <f>YEARFRAC(E687,$V$14)</f>
        <v>11.108333333333333</v>
      </c>
      <c r="W687" s="150">
        <f>IF(V687&gt;L687,0,L687-V687)</f>
        <v>0</v>
      </c>
      <c r="X687" s="146">
        <f>IF(W687=0,0,W687)</f>
        <v>0</v>
      </c>
    </row>
    <row r="688" spans="1:24" ht="2.25" customHeight="1" x14ac:dyDescent="0.25">
      <c r="U688" s="149">
        <f>E688+(L688*365)</f>
        <v>0</v>
      </c>
      <c r="V688" s="146">
        <f>YEARFRAC(E688,$V$14)</f>
        <v>118.00277777777778</v>
      </c>
      <c r="W688" s="150">
        <f>IF(V688&gt;L688,0,L688-V688)</f>
        <v>0</v>
      </c>
      <c r="X688" s="146"/>
    </row>
    <row r="689" spans="1:24" ht="12" customHeight="1" x14ac:dyDescent="0.25">
      <c r="A689" s="283" t="s">
        <v>331</v>
      </c>
      <c r="B689" s="283"/>
      <c r="C689" s="283"/>
      <c r="D689" s="283"/>
      <c r="E689" s="283"/>
      <c r="F689" s="283"/>
      <c r="G689" s="283"/>
      <c r="M689" s="260">
        <v>3432.7000000000003</v>
      </c>
      <c r="O689" s="284">
        <v>3432.7000000000003</v>
      </c>
      <c r="P689" s="284"/>
      <c r="Q689" s="284"/>
      <c r="R689" s="260">
        <v>0</v>
      </c>
      <c r="S689" s="260">
        <v>3432.7000000000003</v>
      </c>
      <c r="U689" s="281" t="s">
        <v>208</v>
      </c>
      <c r="V689" s="282"/>
      <c r="W689" s="147">
        <f>AVERAGE(W685:W687)</f>
        <v>0</v>
      </c>
      <c r="X689" s="147">
        <f>AVERAGE(X685:X687)</f>
        <v>0</v>
      </c>
    </row>
    <row r="690" spans="1:24" ht="14.25" customHeight="1" x14ac:dyDescent="0.25">
      <c r="B690" s="283" t="s">
        <v>209</v>
      </c>
      <c r="C690" s="283"/>
      <c r="D690" s="283"/>
      <c r="E690" s="283"/>
      <c r="F690" s="283"/>
      <c r="G690" s="283"/>
      <c r="H690" s="283"/>
      <c r="M690" s="261">
        <v>0</v>
      </c>
      <c r="O690" s="285">
        <v>0</v>
      </c>
      <c r="P690" s="285"/>
      <c r="Q690" s="285"/>
      <c r="R690" s="261">
        <v>0</v>
      </c>
      <c r="S690" s="261">
        <v>0</v>
      </c>
      <c r="X690" s="146"/>
    </row>
    <row r="691" spans="1:24" ht="9.75" customHeight="1" thickBot="1" x14ac:dyDescent="0.3">
      <c r="A691" s="283" t="s">
        <v>332</v>
      </c>
      <c r="B691" s="283"/>
      <c r="C691" s="283"/>
      <c r="D691" s="283"/>
      <c r="E691" s="283"/>
      <c r="F691" s="283"/>
      <c r="G691" s="283"/>
      <c r="M691" s="286">
        <v>3432.7000000000003</v>
      </c>
      <c r="O691" s="286">
        <v>3432.7000000000003</v>
      </c>
      <c r="P691" s="286"/>
      <c r="Q691" s="286"/>
      <c r="R691" s="286">
        <v>0</v>
      </c>
      <c r="S691" s="286">
        <v>3432.7000000000003</v>
      </c>
      <c r="X691" s="146"/>
    </row>
    <row r="692" spans="1:24" ht="6" customHeight="1" thickTop="1" thickBot="1" x14ac:dyDescent="0.3">
      <c r="M692" s="286"/>
      <c r="O692" s="286"/>
      <c r="P692" s="286"/>
      <c r="Q692" s="286"/>
      <c r="R692" s="286"/>
      <c r="S692" s="286"/>
      <c r="X692" s="146"/>
    </row>
    <row r="693" spans="1:24" ht="2.25" customHeight="1" thickTop="1" x14ac:dyDescent="0.25">
      <c r="X693" s="146"/>
    </row>
    <row r="694" spans="1:24" ht="14.25" customHeight="1" x14ac:dyDescent="0.25">
      <c r="A694" s="283" t="s">
        <v>172</v>
      </c>
      <c r="B694" s="283"/>
      <c r="C694" s="283"/>
      <c r="D694" s="283"/>
      <c r="E694" s="283"/>
      <c r="F694" s="283"/>
      <c r="G694" s="283"/>
      <c r="H694" s="283"/>
      <c r="I694" s="283"/>
      <c r="J694" s="283"/>
      <c r="K694" s="283"/>
      <c r="L694" s="283"/>
      <c r="M694" s="283"/>
      <c r="N694" s="283"/>
      <c r="O694" s="283"/>
      <c r="P694" s="283"/>
      <c r="Q694" s="283"/>
      <c r="R694" s="283"/>
      <c r="S694" s="283"/>
      <c r="T694" s="283"/>
      <c r="U694" s="140" t="s">
        <v>201</v>
      </c>
      <c r="V694" s="141">
        <v>43100</v>
      </c>
      <c r="W694" s="140" t="s">
        <v>202</v>
      </c>
      <c r="X694" s="148" t="s">
        <v>203</v>
      </c>
    </row>
    <row r="695" spans="1:24" ht="2.25" customHeight="1" x14ac:dyDescent="0.25">
      <c r="W695" s="142"/>
      <c r="X695" s="146"/>
    </row>
    <row r="696" spans="1:24" ht="0.75" customHeight="1" x14ac:dyDescent="0.25">
      <c r="X696" s="146"/>
    </row>
    <row r="697" spans="1:24" ht="9.75" customHeight="1" x14ac:dyDescent="0.25">
      <c r="A697" s="288">
        <v>34</v>
      </c>
      <c r="B697" s="288"/>
      <c r="D697" s="258" t="s">
        <v>333</v>
      </c>
      <c r="E697" s="289">
        <v>32964</v>
      </c>
      <c r="F697" s="289"/>
      <c r="G697" s="289"/>
      <c r="H697" s="289"/>
      <c r="I697" s="290" t="s">
        <v>205</v>
      </c>
      <c r="J697" s="290"/>
      <c r="K697" s="290"/>
      <c r="L697" s="47">
        <v>10</v>
      </c>
      <c r="M697" s="262">
        <v>1380</v>
      </c>
      <c r="N697" s="47">
        <v>100</v>
      </c>
      <c r="O697" s="291">
        <v>1380</v>
      </c>
      <c r="P697" s="291"/>
      <c r="Q697" s="291"/>
      <c r="R697" s="262">
        <v>0</v>
      </c>
      <c r="S697" s="262">
        <v>1380</v>
      </c>
      <c r="U697" s="149">
        <f t="shared" ref="U697:U705" si="68">E697+(L697*365)</f>
        <v>36614</v>
      </c>
      <c r="V697" s="146">
        <f t="shared" ref="V697:V705" si="69">YEARFRAC(E697,$V$14)</f>
        <v>27.75</v>
      </c>
      <c r="W697" s="150">
        <f t="shared" ref="W697:W705" si="70">IF(V697&gt;L697,0,L697-V697)</f>
        <v>0</v>
      </c>
      <c r="X697" s="146"/>
    </row>
    <row r="698" spans="1:24" ht="9.75" customHeight="1" x14ac:dyDescent="0.25">
      <c r="A698" s="288">
        <v>35</v>
      </c>
      <c r="B698" s="288"/>
      <c r="D698" s="258" t="s">
        <v>333</v>
      </c>
      <c r="E698" s="289">
        <v>32874</v>
      </c>
      <c r="F698" s="289"/>
      <c r="G698" s="289"/>
      <c r="H698" s="289"/>
      <c r="I698" s="290" t="s">
        <v>205</v>
      </c>
      <c r="J698" s="290"/>
      <c r="K698" s="290"/>
      <c r="L698" s="47">
        <v>10</v>
      </c>
      <c r="M698" s="262">
        <v>1091</v>
      </c>
      <c r="N698" s="47">
        <v>100</v>
      </c>
      <c r="O698" s="291">
        <v>1091</v>
      </c>
      <c r="P698" s="291"/>
      <c r="Q698" s="291"/>
      <c r="R698" s="262">
        <v>0</v>
      </c>
      <c r="S698" s="262">
        <v>1091</v>
      </c>
      <c r="U698" s="149">
        <f t="shared" si="68"/>
        <v>36524</v>
      </c>
      <c r="V698" s="146">
        <f t="shared" si="69"/>
        <v>28</v>
      </c>
      <c r="W698" s="150">
        <f t="shared" si="70"/>
        <v>0</v>
      </c>
      <c r="X698" s="146"/>
    </row>
    <row r="699" spans="1:24" ht="9.75" customHeight="1" x14ac:dyDescent="0.25">
      <c r="A699" s="288">
        <v>36</v>
      </c>
      <c r="B699" s="288"/>
      <c r="D699" s="258" t="s">
        <v>333</v>
      </c>
      <c r="E699" s="289">
        <v>33419</v>
      </c>
      <c r="F699" s="289"/>
      <c r="G699" s="289"/>
      <c r="H699" s="289"/>
      <c r="I699" s="290" t="s">
        <v>205</v>
      </c>
      <c r="J699" s="290"/>
      <c r="K699" s="290"/>
      <c r="L699" s="47">
        <v>10</v>
      </c>
      <c r="M699" s="262">
        <v>1303</v>
      </c>
      <c r="N699" s="47">
        <v>100</v>
      </c>
      <c r="O699" s="291">
        <v>1303</v>
      </c>
      <c r="P699" s="291"/>
      <c r="Q699" s="291"/>
      <c r="R699" s="262">
        <v>0</v>
      </c>
      <c r="S699" s="262">
        <v>1303</v>
      </c>
      <c r="U699" s="149">
        <f t="shared" si="68"/>
        <v>37069</v>
      </c>
      <c r="V699" s="146">
        <f t="shared" si="69"/>
        <v>26.5</v>
      </c>
      <c r="W699" s="150">
        <f t="shared" si="70"/>
        <v>0</v>
      </c>
      <c r="X699" s="146"/>
    </row>
    <row r="700" spans="1:24" ht="9.75" customHeight="1" x14ac:dyDescent="0.25">
      <c r="A700" s="288">
        <v>40</v>
      </c>
      <c r="B700" s="288"/>
      <c r="D700" s="258" t="s">
        <v>334</v>
      </c>
      <c r="E700" s="289">
        <v>34610</v>
      </c>
      <c r="F700" s="289"/>
      <c r="G700" s="289"/>
      <c r="H700" s="289"/>
      <c r="I700" s="290" t="s">
        <v>205</v>
      </c>
      <c r="J700" s="290"/>
      <c r="K700" s="290"/>
      <c r="L700" s="47">
        <v>10</v>
      </c>
      <c r="M700" s="262">
        <v>533</v>
      </c>
      <c r="N700" s="47">
        <v>100</v>
      </c>
      <c r="O700" s="291">
        <v>533</v>
      </c>
      <c r="P700" s="291"/>
      <c r="Q700" s="291"/>
      <c r="R700" s="262">
        <v>0</v>
      </c>
      <c r="S700" s="262">
        <v>533</v>
      </c>
      <c r="U700" s="149">
        <f t="shared" si="68"/>
        <v>38260</v>
      </c>
      <c r="V700" s="146">
        <f t="shared" si="69"/>
        <v>23.244444444444444</v>
      </c>
      <c r="W700" s="150">
        <f t="shared" si="70"/>
        <v>0</v>
      </c>
      <c r="X700" s="146"/>
    </row>
    <row r="701" spans="1:24" ht="9.75" customHeight="1" x14ac:dyDescent="0.25">
      <c r="A701" s="288">
        <v>41</v>
      </c>
      <c r="B701" s="288"/>
      <c r="D701" s="258" t="s">
        <v>335</v>
      </c>
      <c r="E701" s="289">
        <v>34670</v>
      </c>
      <c r="F701" s="289"/>
      <c r="G701" s="289"/>
      <c r="H701" s="289"/>
      <c r="I701" s="290" t="s">
        <v>205</v>
      </c>
      <c r="J701" s="290"/>
      <c r="K701" s="290"/>
      <c r="L701" s="47">
        <v>10</v>
      </c>
      <c r="M701" s="262">
        <v>674</v>
      </c>
      <c r="N701" s="47">
        <v>100</v>
      </c>
      <c r="O701" s="291">
        <v>674</v>
      </c>
      <c r="P701" s="291"/>
      <c r="Q701" s="291"/>
      <c r="R701" s="262">
        <v>0</v>
      </c>
      <c r="S701" s="262">
        <v>674</v>
      </c>
      <c r="U701" s="149">
        <f t="shared" si="68"/>
        <v>38320</v>
      </c>
      <c r="V701" s="146">
        <f t="shared" si="69"/>
        <v>23.080555555555556</v>
      </c>
      <c r="W701" s="150">
        <f t="shared" si="70"/>
        <v>0</v>
      </c>
      <c r="X701" s="146"/>
    </row>
    <row r="702" spans="1:24" ht="9.75" customHeight="1" x14ac:dyDescent="0.25">
      <c r="A702" s="288">
        <v>42</v>
      </c>
      <c r="B702" s="288"/>
      <c r="D702" s="258" t="s">
        <v>336</v>
      </c>
      <c r="E702" s="289">
        <v>34921</v>
      </c>
      <c r="F702" s="289"/>
      <c r="G702" s="289"/>
      <c r="H702" s="289"/>
      <c r="I702" s="290" t="s">
        <v>205</v>
      </c>
      <c r="J702" s="290"/>
      <c r="K702" s="290"/>
      <c r="L702" s="47">
        <v>10</v>
      </c>
      <c r="M702" s="262">
        <v>407</v>
      </c>
      <c r="N702" s="47">
        <v>100</v>
      </c>
      <c r="O702" s="291">
        <v>407</v>
      </c>
      <c r="P702" s="291"/>
      <c r="Q702" s="291"/>
      <c r="R702" s="262">
        <v>0</v>
      </c>
      <c r="S702" s="262">
        <v>407</v>
      </c>
      <c r="U702" s="149">
        <f t="shared" si="68"/>
        <v>38571</v>
      </c>
      <c r="V702" s="146">
        <f t="shared" si="69"/>
        <v>22.391666666666666</v>
      </c>
      <c r="W702" s="150">
        <f t="shared" si="70"/>
        <v>0</v>
      </c>
      <c r="X702" s="146"/>
    </row>
    <row r="703" spans="1:24" ht="9.75" customHeight="1" x14ac:dyDescent="0.25">
      <c r="A703" s="288">
        <v>338</v>
      </c>
      <c r="B703" s="288"/>
      <c r="D703" s="258" t="s">
        <v>329</v>
      </c>
      <c r="E703" s="289">
        <v>36891</v>
      </c>
      <c r="F703" s="289"/>
      <c r="G703" s="289"/>
      <c r="H703" s="289"/>
      <c r="I703" s="290" t="s">
        <v>205</v>
      </c>
      <c r="J703" s="290"/>
      <c r="K703" s="290"/>
      <c r="L703" s="47">
        <v>10</v>
      </c>
      <c r="M703" s="262">
        <v>2239</v>
      </c>
      <c r="N703" s="47">
        <v>100</v>
      </c>
      <c r="O703" s="291">
        <v>2239</v>
      </c>
      <c r="P703" s="291"/>
      <c r="Q703" s="291"/>
      <c r="R703" s="262">
        <v>0</v>
      </c>
      <c r="S703" s="262">
        <v>2239</v>
      </c>
      <c r="U703" s="149">
        <f t="shared" si="68"/>
        <v>40541</v>
      </c>
      <c r="V703" s="146">
        <f t="shared" si="69"/>
        <v>17</v>
      </c>
      <c r="W703" s="150">
        <f t="shared" si="70"/>
        <v>0</v>
      </c>
      <c r="X703" s="146"/>
    </row>
    <row r="704" spans="1:24" ht="9.75" customHeight="1" x14ac:dyDescent="0.25">
      <c r="A704" s="288">
        <v>709</v>
      </c>
      <c r="B704" s="288"/>
      <c r="D704" s="258" t="s">
        <v>337</v>
      </c>
      <c r="E704" s="289">
        <v>39080</v>
      </c>
      <c r="F704" s="289"/>
      <c r="G704" s="289"/>
      <c r="H704" s="289"/>
      <c r="I704" s="290" t="s">
        <v>205</v>
      </c>
      <c r="J704" s="290"/>
      <c r="K704" s="290"/>
      <c r="L704" s="47">
        <v>10</v>
      </c>
      <c r="M704" s="262">
        <v>545.87</v>
      </c>
      <c r="N704" s="47">
        <v>100</v>
      </c>
      <c r="O704" s="291">
        <v>545.87</v>
      </c>
      <c r="P704" s="291"/>
      <c r="Q704" s="291"/>
      <c r="R704" s="262">
        <v>0</v>
      </c>
      <c r="S704" s="262">
        <v>545.87</v>
      </c>
      <c r="U704" s="149">
        <f t="shared" si="68"/>
        <v>42730</v>
      </c>
      <c r="V704" s="146">
        <f t="shared" si="69"/>
        <v>11.005555555555556</v>
      </c>
      <c r="W704" s="150">
        <f t="shared" si="70"/>
        <v>0</v>
      </c>
      <c r="X704" s="146"/>
    </row>
    <row r="705" spans="1:24" ht="9.75" customHeight="1" x14ac:dyDescent="0.25">
      <c r="A705" s="288">
        <v>831</v>
      </c>
      <c r="B705" s="288"/>
      <c r="D705" s="258" t="s">
        <v>338</v>
      </c>
      <c r="E705" s="289">
        <v>40260</v>
      </c>
      <c r="F705" s="289"/>
      <c r="G705" s="289"/>
      <c r="H705" s="289"/>
      <c r="I705" s="290" t="s">
        <v>205</v>
      </c>
      <c r="J705" s="290"/>
      <c r="K705" s="290"/>
      <c r="L705" s="47">
        <v>10</v>
      </c>
      <c r="M705" s="262">
        <v>2021.23</v>
      </c>
      <c r="N705" s="47">
        <v>100</v>
      </c>
      <c r="O705" s="291">
        <v>1364.31</v>
      </c>
      <c r="P705" s="291"/>
      <c r="Q705" s="291"/>
      <c r="R705" s="262">
        <v>202.12</v>
      </c>
      <c r="S705" s="262">
        <v>1566.43</v>
      </c>
      <c r="U705" s="149">
        <f t="shared" si="68"/>
        <v>43910</v>
      </c>
      <c r="V705" s="146">
        <f t="shared" si="69"/>
        <v>7.7722222222222221</v>
      </c>
      <c r="W705" s="150">
        <f t="shared" si="70"/>
        <v>2.2277777777777779</v>
      </c>
      <c r="X705" s="146">
        <f>IF(W705=0,0,W705)</f>
        <v>2.2277777777777779</v>
      </c>
    </row>
    <row r="706" spans="1:24" ht="2.25" customHeight="1" x14ac:dyDescent="0.25">
      <c r="X706" s="146"/>
    </row>
    <row r="707" spans="1:24" ht="12" customHeight="1" x14ac:dyDescent="0.25">
      <c r="A707" s="283" t="s">
        <v>339</v>
      </c>
      <c r="B707" s="283"/>
      <c r="C707" s="283"/>
      <c r="D707" s="283"/>
      <c r="E707" s="283"/>
      <c r="F707" s="283"/>
      <c r="G707" s="283"/>
      <c r="M707" s="260">
        <v>10194.1</v>
      </c>
      <c r="O707" s="284">
        <v>9537.18</v>
      </c>
      <c r="P707" s="284"/>
      <c r="Q707" s="284"/>
      <c r="R707" s="260">
        <v>202.12</v>
      </c>
      <c r="S707" s="260">
        <v>9739.3000000000011</v>
      </c>
      <c r="U707" s="281" t="s">
        <v>208</v>
      </c>
      <c r="V707" s="282"/>
      <c r="W707" s="147">
        <f>AVERAGE(W697:W705)</f>
        <v>0.24753086419753087</v>
      </c>
      <c r="X707" s="147">
        <f>AVERAGE(X697:X705)</f>
        <v>2.2277777777777779</v>
      </c>
    </row>
    <row r="708" spans="1:24" ht="14.25" customHeight="1" x14ac:dyDescent="0.25">
      <c r="B708" s="283" t="s">
        <v>209</v>
      </c>
      <c r="C708" s="283"/>
      <c r="D708" s="283"/>
      <c r="E708" s="283"/>
      <c r="F708" s="283"/>
      <c r="G708" s="283"/>
      <c r="H708" s="283"/>
      <c r="M708" s="261">
        <v>0</v>
      </c>
      <c r="O708" s="285">
        <v>0</v>
      </c>
      <c r="P708" s="285"/>
      <c r="Q708" s="285"/>
      <c r="R708" s="261">
        <v>0</v>
      </c>
      <c r="S708" s="261">
        <v>0</v>
      </c>
      <c r="X708" s="146"/>
    </row>
    <row r="709" spans="1:24" ht="9.75" customHeight="1" thickBot="1" x14ac:dyDescent="0.3">
      <c r="A709" s="283" t="s">
        <v>340</v>
      </c>
      <c r="B709" s="283"/>
      <c r="C709" s="283"/>
      <c r="D709" s="283"/>
      <c r="E709" s="283"/>
      <c r="F709" s="283"/>
      <c r="G709" s="283"/>
      <c r="M709" s="286">
        <v>10194.1</v>
      </c>
      <c r="O709" s="286">
        <v>9537.18</v>
      </c>
      <c r="P709" s="286"/>
      <c r="Q709" s="286"/>
      <c r="R709" s="286">
        <v>202.12</v>
      </c>
      <c r="S709" s="286">
        <v>9739.3000000000011</v>
      </c>
      <c r="X709" s="146"/>
    </row>
    <row r="710" spans="1:24" ht="6" customHeight="1" thickTop="1" thickBot="1" x14ac:dyDescent="0.3">
      <c r="M710" s="286"/>
      <c r="O710" s="286"/>
      <c r="P710" s="286"/>
      <c r="Q710" s="286"/>
      <c r="R710" s="286"/>
      <c r="S710" s="286"/>
      <c r="X710" s="146"/>
    </row>
    <row r="711" spans="1:24" ht="2.25" customHeight="1" thickTop="1" x14ac:dyDescent="0.25">
      <c r="X711" s="146"/>
    </row>
    <row r="712" spans="1:24" ht="14.25" customHeight="1" x14ac:dyDescent="0.25">
      <c r="A712" s="283" t="s">
        <v>341</v>
      </c>
      <c r="B712" s="283"/>
      <c r="C712" s="283"/>
      <c r="D712" s="283"/>
      <c r="E712" s="283"/>
      <c r="F712" s="283"/>
      <c r="G712" s="283"/>
      <c r="H712" s="283"/>
      <c r="I712" s="283"/>
      <c r="J712" s="283"/>
      <c r="K712" s="283"/>
      <c r="L712" s="283"/>
      <c r="M712" s="283"/>
      <c r="N712" s="283"/>
      <c r="O712" s="283"/>
      <c r="P712" s="283"/>
      <c r="Q712" s="283"/>
      <c r="R712" s="283"/>
      <c r="S712" s="283"/>
      <c r="T712" s="283"/>
      <c r="U712" s="140" t="s">
        <v>201</v>
      </c>
      <c r="V712" s="141">
        <v>43100</v>
      </c>
      <c r="W712" s="140" t="s">
        <v>202</v>
      </c>
      <c r="X712" s="148" t="s">
        <v>203</v>
      </c>
    </row>
    <row r="713" spans="1:24" ht="2.25" customHeight="1" x14ac:dyDescent="0.25">
      <c r="W713" s="142"/>
      <c r="X713" s="146"/>
    </row>
    <row r="714" spans="1:24" ht="0.75" customHeight="1" x14ac:dyDescent="0.25">
      <c r="X714" s="146"/>
    </row>
    <row r="715" spans="1:24" ht="9.75" customHeight="1" x14ac:dyDescent="0.25">
      <c r="A715" s="288">
        <v>487</v>
      </c>
      <c r="B715" s="288"/>
      <c r="D715" s="258" t="s">
        <v>342</v>
      </c>
      <c r="E715" s="289">
        <v>37790</v>
      </c>
      <c r="F715" s="289"/>
      <c r="G715" s="289"/>
      <c r="H715" s="289"/>
      <c r="I715" s="290" t="s">
        <v>205</v>
      </c>
      <c r="J715" s="290"/>
      <c r="K715" s="290"/>
      <c r="L715" s="47">
        <v>10</v>
      </c>
      <c r="M715" s="262">
        <v>4326.5</v>
      </c>
      <c r="N715" s="47">
        <v>100</v>
      </c>
      <c r="O715" s="291">
        <v>4326.5</v>
      </c>
      <c r="P715" s="291"/>
      <c r="Q715" s="291"/>
      <c r="R715" s="262">
        <v>0</v>
      </c>
      <c r="S715" s="262">
        <v>4326.5</v>
      </c>
      <c r="U715" s="149">
        <f>E715+(L715*365)</f>
        <v>41440</v>
      </c>
      <c r="V715" s="146">
        <f>YEARFRAC(E715,$V$14)</f>
        <v>14.536111111111111</v>
      </c>
      <c r="W715" s="150">
        <f>IF(V715&gt;L715,0,L715-V715)</f>
        <v>0</v>
      </c>
      <c r="X715" s="146"/>
    </row>
    <row r="716" spans="1:24" ht="9.75" customHeight="1" x14ac:dyDescent="0.25">
      <c r="A716" s="288">
        <v>865</v>
      </c>
      <c r="B716" s="288"/>
      <c r="D716" s="258" t="s">
        <v>343</v>
      </c>
      <c r="E716" s="289">
        <v>40501</v>
      </c>
      <c r="F716" s="289"/>
      <c r="G716" s="289"/>
      <c r="H716" s="289"/>
      <c r="I716" s="290" t="s">
        <v>205</v>
      </c>
      <c r="J716" s="290"/>
      <c r="K716" s="290"/>
      <c r="L716" s="47">
        <v>10</v>
      </c>
      <c r="M716" s="262">
        <v>53792.11</v>
      </c>
      <c r="N716" s="47">
        <v>100</v>
      </c>
      <c r="O716" s="291">
        <v>32723.530000000002</v>
      </c>
      <c r="P716" s="291"/>
      <c r="Q716" s="291"/>
      <c r="R716" s="262">
        <v>5379.21</v>
      </c>
      <c r="S716" s="262">
        <v>38102.74</v>
      </c>
      <c r="U716" s="149">
        <f>E716+(L716*365)</f>
        <v>44151</v>
      </c>
      <c r="V716" s="146">
        <f>YEARFRAC(E716,$V$14)</f>
        <v>7.1166666666666663</v>
      </c>
      <c r="W716" s="150">
        <f>IF(V716&gt;L716,0,L716-V716)</f>
        <v>2.8833333333333337</v>
      </c>
      <c r="X716" s="146">
        <f>IF(W716=0,0,W716)</f>
        <v>2.8833333333333337</v>
      </c>
    </row>
    <row r="717" spans="1:24" ht="2.25" customHeight="1" x14ac:dyDescent="0.25">
      <c r="X717" s="146"/>
    </row>
    <row r="718" spans="1:24" ht="12" customHeight="1" x14ac:dyDescent="0.25">
      <c r="A718" s="283" t="s">
        <v>344</v>
      </c>
      <c r="B718" s="283"/>
      <c r="C718" s="283"/>
      <c r="D718" s="283"/>
      <c r="E718" s="283"/>
      <c r="F718" s="283"/>
      <c r="G718" s="283"/>
      <c r="M718" s="260">
        <v>58118.61</v>
      </c>
      <c r="O718" s="284">
        <v>37050.03</v>
      </c>
      <c r="P718" s="284"/>
      <c r="Q718" s="284"/>
      <c r="R718" s="260">
        <v>5379.21</v>
      </c>
      <c r="S718" s="260">
        <v>42429.24</v>
      </c>
      <c r="U718" s="281" t="s">
        <v>208</v>
      </c>
      <c r="V718" s="282"/>
      <c r="W718" s="147">
        <f>AVERAGE(W715:W716)</f>
        <v>1.4416666666666669</v>
      </c>
      <c r="X718" s="147">
        <f>AVERAGE(X715:X716)</f>
        <v>2.8833333333333337</v>
      </c>
    </row>
    <row r="719" spans="1:24" ht="14.25" customHeight="1" x14ac:dyDescent="0.25">
      <c r="B719" s="283" t="s">
        <v>209</v>
      </c>
      <c r="C719" s="283"/>
      <c r="D719" s="283"/>
      <c r="E719" s="283"/>
      <c r="F719" s="283"/>
      <c r="G719" s="283"/>
      <c r="H719" s="283"/>
      <c r="M719" s="261">
        <v>0</v>
      </c>
      <c r="O719" s="285">
        <v>0</v>
      </c>
      <c r="P719" s="285"/>
      <c r="Q719" s="285"/>
      <c r="R719" s="261">
        <v>0</v>
      </c>
      <c r="S719" s="261">
        <v>0</v>
      </c>
      <c r="X719" s="146"/>
    </row>
    <row r="720" spans="1:24" ht="9.75" customHeight="1" thickBot="1" x14ac:dyDescent="0.3">
      <c r="A720" s="283" t="s">
        <v>345</v>
      </c>
      <c r="B720" s="283"/>
      <c r="C720" s="283"/>
      <c r="D720" s="283"/>
      <c r="E720" s="283"/>
      <c r="F720" s="283"/>
      <c r="G720" s="283"/>
      <c r="M720" s="286">
        <v>58118.61</v>
      </c>
      <c r="O720" s="286">
        <v>37050.03</v>
      </c>
      <c r="P720" s="286"/>
      <c r="Q720" s="286"/>
      <c r="R720" s="286">
        <v>5379.21</v>
      </c>
      <c r="S720" s="286">
        <v>42429.24</v>
      </c>
      <c r="X720" s="146"/>
    </row>
    <row r="721" spans="1:24" ht="6" customHeight="1" thickTop="1" thickBot="1" x14ac:dyDescent="0.3">
      <c r="M721" s="286"/>
      <c r="O721" s="286"/>
      <c r="P721" s="286"/>
      <c r="Q721" s="286"/>
      <c r="R721" s="286"/>
      <c r="S721" s="286"/>
      <c r="X721" s="146"/>
    </row>
    <row r="722" spans="1:24" ht="2.25" customHeight="1" thickTop="1" x14ac:dyDescent="0.25">
      <c r="X722" s="146"/>
    </row>
    <row r="723" spans="1:24" ht="14.25" customHeight="1" x14ac:dyDescent="0.25">
      <c r="A723" s="283" t="s">
        <v>174</v>
      </c>
      <c r="B723" s="283"/>
      <c r="C723" s="283"/>
      <c r="D723" s="283"/>
      <c r="E723" s="283"/>
      <c r="F723" s="283"/>
      <c r="G723" s="283"/>
      <c r="H723" s="283"/>
      <c r="I723" s="283"/>
      <c r="J723" s="283"/>
      <c r="K723" s="283"/>
      <c r="L723" s="283"/>
      <c r="M723" s="283"/>
      <c r="N723" s="283"/>
      <c r="O723" s="283"/>
      <c r="P723" s="283"/>
      <c r="Q723" s="283"/>
      <c r="R723" s="283"/>
      <c r="S723" s="283"/>
      <c r="T723" s="283"/>
      <c r="U723" s="140" t="s">
        <v>201</v>
      </c>
      <c r="V723" s="141">
        <v>43100</v>
      </c>
      <c r="W723" s="140" t="s">
        <v>202</v>
      </c>
      <c r="X723" s="148" t="s">
        <v>203</v>
      </c>
    </row>
    <row r="724" spans="1:24" ht="2.25" customHeight="1" x14ac:dyDescent="0.25">
      <c r="W724" s="142"/>
      <c r="X724" s="146"/>
    </row>
    <row r="725" spans="1:24" ht="0.75" customHeight="1" x14ac:dyDescent="0.25">
      <c r="X725" s="146"/>
    </row>
    <row r="726" spans="1:24" ht="9.75" customHeight="1" x14ac:dyDescent="0.25">
      <c r="A726" s="288">
        <v>71</v>
      </c>
      <c r="B726" s="288"/>
      <c r="D726" s="258" t="s">
        <v>346</v>
      </c>
      <c r="E726" s="289">
        <v>32873</v>
      </c>
      <c r="F726" s="289"/>
      <c r="G726" s="289"/>
      <c r="H726" s="289"/>
      <c r="I726" s="290" t="s">
        <v>205</v>
      </c>
      <c r="J726" s="290"/>
      <c r="K726" s="290"/>
      <c r="L726" s="47">
        <v>33</v>
      </c>
      <c r="M726" s="262">
        <v>73</v>
      </c>
      <c r="N726" s="47">
        <v>100</v>
      </c>
      <c r="O726" s="291">
        <v>59.85</v>
      </c>
      <c r="P726" s="291"/>
      <c r="Q726" s="291"/>
      <c r="R726" s="262">
        <v>2.21</v>
      </c>
      <c r="S726" s="262">
        <v>62.06</v>
      </c>
      <c r="U726" s="149">
        <f t="shared" ref="U726:U762" si="71">E726+(L726*365)</f>
        <v>44918</v>
      </c>
      <c r="V726" s="146">
        <f t="shared" ref="V726:V762" si="72">YEARFRAC(E726,$V$14)</f>
        <v>28</v>
      </c>
      <c r="W726" s="150">
        <f t="shared" ref="W726:W762" si="73">IF(V726&gt;L726,0,L726-V726)</f>
        <v>5</v>
      </c>
      <c r="X726" s="146">
        <f t="shared" ref="X726:X756" si="74">IF(W726=0,0,W726)</f>
        <v>5</v>
      </c>
    </row>
    <row r="727" spans="1:24" ht="9.75" customHeight="1" x14ac:dyDescent="0.25">
      <c r="A727" s="288">
        <v>106</v>
      </c>
      <c r="B727" s="288"/>
      <c r="D727" s="258" t="s">
        <v>346</v>
      </c>
      <c r="E727" s="289">
        <v>33238</v>
      </c>
      <c r="F727" s="289"/>
      <c r="G727" s="289"/>
      <c r="H727" s="289"/>
      <c r="I727" s="290" t="s">
        <v>205</v>
      </c>
      <c r="J727" s="290"/>
      <c r="K727" s="290"/>
      <c r="L727" s="47">
        <v>33</v>
      </c>
      <c r="M727" s="262">
        <v>8402</v>
      </c>
      <c r="N727" s="47">
        <v>100</v>
      </c>
      <c r="O727" s="291">
        <v>6641.08</v>
      </c>
      <c r="P727" s="291"/>
      <c r="Q727" s="291"/>
      <c r="R727" s="262">
        <v>254.61</v>
      </c>
      <c r="S727" s="262">
        <v>6895.6900000000005</v>
      </c>
      <c r="U727" s="149">
        <f t="shared" si="71"/>
        <v>45283</v>
      </c>
      <c r="V727" s="146">
        <f t="shared" si="72"/>
        <v>27</v>
      </c>
      <c r="W727" s="150">
        <f t="shared" si="73"/>
        <v>6</v>
      </c>
      <c r="X727" s="146">
        <f t="shared" si="74"/>
        <v>6</v>
      </c>
    </row>
    <row r="728" spans="1:24" ht="9.75" customHeight="1" x14ac:dyDescent="0.25">
      <c r="A728" s="288">
        <v>120</v>
      </c>
      <c r="B728" s="288"/>
      <c r="D728" s="258" t="s">
        <v>347</v>
      </c>
      <c r="E728" s="289">
        <v>33419</v>
      </c>
      <c r="F728" s="289"/>
      <c r="G728" s="289"/>
      <c r="H728" s="289"/>
      <c r="I728" s="290" t="s">
        <v>205</v>
      </c>
      <c r="J728" s="290"/>
      <c r="K728" s="290"/>
      <c r="L728" s="47">
        <v>33</v>
      </c>
      <c r="M728" s="262">
        <v>1063</v>
      </c>
      <c r="N728" s="47">
        <v>100</v>
      </c>
      <c r="O728" s="291">
        <v>824.04</v>
      </c>
      <c r="P728" s="291"/>
      <c r="Q728" s="291"/>
      <c r="R728" s="262">
        <v>32.21</v>
      </c>
      <c r="S728" s="262">
        <v>856.25</v>
      </c>
      <c r="U728" s="149">
        <f t="shared" si="71"/>
        <v>45464</v>
      </c>
      <c r="V728" s="146">
        <f t="shared" si="72"/>
        <v>26.5</v>
      </c>
      <c r="W728" s="150">
        <f t="shared" si="73"/>
        <v>6.5</v>
      </c>
      <c r="X728" s="146">
        <f t="shared" si="74"/>
        <v>6.5</v>
      </c>
    </row>
    <row r="729" spans="1:24" ht="9.75" customHeight="1" x14ac:dyDescent="0.25">
      <c r="A729" s="288">
        <v>132</v>
      </c>
      <c r="B729" s="288"/>
      <c r="D729" s="258" t="s">
        <v>347</v>
      </c>
      <c r="E729" s="289">
        <v>33603</v>
      </c>
      <c r="F729" s="289"/>
      <c r="G729" s="289"/>
      <c r="H729" s="289"/>
      <c r="I729" s="290" t="s">
        <v>205</v>
      </c>
      <c r="J729" s="290"/>
      <c r="K729" s="290"/>
      <c r="L729" s="47">
        <v>33</v>
      </c>
      <c r="M729" s="262">
        <v>2468</v>
      </c>
      <c r="N729" s="47">
        <v>100</v>
      </c>
      <c r="O729" s="291">
        <v>1875.98</v>
      </c>
      <c r="P729" s="291"/>
      <c r="Q729" s="291"/>
      <c r="R729" s="262">
        <v>74.790000000000006</v>
      </c>
      <c r="S729" s="262">
        <v>1950.77</v>
      </c>
      <c r="U729" s="149">
        <f t="shared" si="71"/>
        <v>45648</v>
      </c>
      <c r="V729" s="146">
        <f t="shared" si="72"/>
        <v>26</v>
      </c>
      <c r="W729" s="150">
        <f t="shared" si="73"/>
        <v>7</v>
      </c>
      <c r="X729" s="146">
        <f t="shared" si="74"/>
        <v>7</v>
      </c>
    </row>
    <row r="730" spans="1:24" ht="9.75" customHeight="1" x14ac:dyDescent="0.25">
      <c r="A730" s="288">
        <v>141</v>
      </c>
      <c r="B730" s="288"/>
      <c r="D730" s="258" t="s">
        <v>348</v>
      </c>
      <c r="E730" s="289">
        <v>33817</v>
      </c>
      <c r="F730" s="289"/>
      <c r="G730" s="289"/>
      <c r="H730" s="289"/>
      <c r="I730" s="290" t="s">
        <v>205</v>
      </c>
      <c r="J730" s="290"/>
      <c r="K730" s="290"/>
      <c r="L730" s="47">
        <v>33</v>
      </c>
      <c r="M730" s="262">
        <v>178</v>
      </c>
      <c r="N730" s="47">
        <v>100</v>
      </c>
      <c r="O730" s="291">
        <v>131.61000000000001</v>
      </c>
      <c r="P730" s="291"/>
      <c r="Q730" s="291"/>
      <c r="R730" s="262">
        <v>5.39</v>
      </c>
      <c r="S730" s="262">
        <v>137</v>
      </c>
      <c r="U730" s="149">
        <f t="shared" si="71"/>
        <v>45862</v>
      </c>
      <c r="V730" s="146">
        <f t="shared" si="72"/>
        <v>25.416666666666668</v>
      </c>
      <c r="W730" s="150">
        <f t="shared" si="73"/>
        <v>7.5833333333333321</v>
      </c>
      <c r="X730" s="146">
        <f t="shared" si="74"/>
        <v>7.5833333333333321</v>
      </c>
    </row>
    <row r="731" spans="1:24" ht="9.75" customHeight="1" x14ac:dyDescent="0.25">
      <c r="A731" s="288">
        <v>142</v>
      </c>
      <c r="B731" s="288"/>
      <c r="D731" s="258" t="s">
        <v>348</v>
      </c>
      <c r="E731" s="289">
        <v>33878</v>
      </c>
      <c r="F731" s="289"/>
      <c r="G731" s="289"/>
      <c r="H731" s="289"/>
      <c r="I731" s="290" t="s">
        <v>205</v>
      </c>
      <c r="J731" s="290"/>
      <c r="K731" s="290"/>
      <c r="L731" s="47">
        <v>33</v>
      </c>
      <c r="M731" s="262">
        <v>126</v>
      </c>
      <c r="N731" s="47">
        <v>100</v>
      </c>
      <c r="O731" s="291">
        <v>92.63</v>
      </c>
      <c r="P731" s="291"/>
      <c r="Q731" s="291"/>
      <c r="R731" s="262">
        <v>3.8200000000000003</v>
      </c>
      <c r="S731" s="262">
        <v>96.45</v>
      </c>
      <c r="U731" s="149">
        <f t="shared" si="71"/>
        <v>45923</v>
      </c>
      <c r="V731" s="146">
        <f t="shared" si="72"/>
        <v>25.25</v>
      </c>
      <c r="W731" s="150">
        <f t="shared" si="73"/>
        <v>7.75</v>
      </c>
      <c r="X731" s="146">
        <f t="shared" si="74"/>
        <v>7.75</v>
      </c>
    </row>
    <row r="732" spans="1:24" ht="9.75" customHeight="1" x14ac:dyDescent="0.25">
      <c r="A732" s="288">
        <v>158</v>
      </c>
      <c r="B732" s="288"/>
      <c r="D732" s="258" t="s">
        <v>349</v>
      </c>
      <c r="E732" s="289">
        <v>33909</v>
      </c>
      <c r="F732" s="289"/>
      <c r="G732" s="289"/>
      <c r="H732" s="289"/>
      <c r="I732" s="290" t="s">
        <v>205</v>
      </c>
      <c r="J732" s="290"/>
      <c r="K732" s="290"/>
      <c r="L732" s="47">
        <v>33</v>
      </c>
      <c r="M732" s="262">
        <v>7</v>
      </c>
      <c r="N732" s="47">
        <v>100</v>
      </c>
      <c r="O732" s="291">
        <v>5.08</v>
      </c>
      <c r="P732" s="291"/>
      <c r="Q732" s="291"/>
      <c r="R732" s="262">
        <v>0.21</v>
      </c>
      <c r="S732" s="262">
        <v>5.29</v>
      </c>
      <c r="U732" s="149">
        <f t="shared" si="71"/>
        <v>45954</v>
      </c>
      <c r="V732" s="146">
        <f t="shared" si="72"/>
        <v>25.166666666666668</v>
      </c>
      <c r="W732" s="150">
        <f t="shared" si="73"/>
        <v>7.8333333333333321</v>
      </c>
      <c r="X732" s="146">
        <f t="shared" si="74"/>
        <v>7.8333333333333321</v>
      </c>
    </row>
    <row r="733" spans="1:24" ht="9.75" customHeight="1" x14ac:dyDescent="0.25">
      <c r="A733" s="288">
        <v>179</v>
      </c>
      <c r="B733" s="288"/>
      <c r="D733" s="258" t="s">
        <v>350</v>
      </c>
      <c r="E733" s="289">
        <v>34425</v>
      </c>
      <c r="F733" s="289"/>
      <c r="G733" s="289"/>
      <c r="H733" s="289"/>
      <c r="I733" s="290" t="s">
        <v>205</v>
      </c>
      <c r="J733" s="290"/>
      <c r="K733" s="290"/>
      <c r="L733" s="47">
        <v>33</v>
      </c>
      <c r="M733" s="262">
        <v>4056</v>
      </c>
      <c r="N733" s="47">
        <v>100</v>
      </c>
      <c r="O733" s="291">
        <v>2796.2000000000003</v>
      </c>
      <c r="P733" s="291"/>
      <c r="Q733" s="291"/>
      <c r="R733" s="262">
        <v>122.91</v>
      </c>
      <c r="S733" s="262">
        <v>2919.11</v>
      </c>
      <c r="U733" s="149">
        <f t="shared" si="71"/>
        <v>46470</v>
      </c>
      <c r="V733" s="146">
        <f t="shared" si="72"/>
        <v>23.75</v>
      </c>
      <c r="W733" s="150">
        <f t="shared" si="73"/>
        <v>9.25</v>
      </c>
      <c r="X733" s="146">
        <f t="shared" si="74"/>
        <v>9.25</v>
      </c>
    </row>
    <row r="734" spans="1:24" ht="9.75" customHeight="1" x14ac:dyDescent="0.25">
      <c r="A734" s="288">
        <v>180</v>
      </c>
      <c r="B734" s="288"/>
      <c r="D734" s="258" t="s">
        <v>351</v>
      </c>
      <c r="E734" s="289">
        <v>34516</v>
      </c>
      <c r="F734" s="289"/>
      <c r="G734" s="289"/>
      <c r="H734" s="289"/>
      <c r="I734" s="290" t="s">
        <v>205</v>
      </c>
      <c r="J734" s="290"/>
      <c r="K734" s="290"/>
      <c r="L734" s="47">
        <v>33</v>
      </c>
      <c r="M734" s="262">
        <v>1149</v>
      </c>
      <c r="N734" s="47">
        <v>100</v>
      </c>
      <c r="O734" s="291">
        <v>783.45</v>
      </c>
      <c r="P734" s="291"/>
      <c r="Q734" s="291"/>
      <c r="R734" s="262">
        <v>34.82</v>
      </c>
      <c r="S734" s="262">
        <v>818.27</v>
      </c>
      <c r="U734" s="149">
        <f t="shared" si="71"/>
        <v>46561</v>
      </c>
      <c r="V734" s="146">
        <f t="shared" si="72"/>
        <v>23.5</v>
      </c>
      <c r="W734" s="150">
        <f t="shared" si="73"/>
        <v>9.5</v>
      </c>
      <c r="X734" s="146">
        <f t="shared" si="74"/>
        <v>9.5</v>
      </c>
    </row>
    <row r="735" spans="1:24" ht="9.75" customHeight="1" x14ac:dyDescent="0.25">
      <c r="A735" s="288">
        <v>181</v>
      </c>
      <c r="B735" s="288"/>
      <c r="D735" s="258" t="s">
        <v>352</v>
      </c>
      <c r="E735" s="289">
        <v>34608</v>
      </c>
      <c r="F735" s="289"/>
      <c r="G735" s="289"/>
      <c r="H735" s="289"/>
      <c r="I735" s="290" t="s">
        <v>205</v>
      </c>
      <c r="J735" s="290"/>
      <c r="K735" s="290"/>
      <c r="L735" s="47">
        <v>33</v>
      </c>
      <c r="M735" s="262">
        <v>1036</v>
      </c>
      <c r="N735" s="47">
        <v>100</v>
      </c>
      <c r="O735" s="291">
        <v>698.43000000000006</v>
      </c>
      <c r="P735" s="291"/>
      <c r="Q735" s="291"/>
      <c r="R735" s="262">
        <v>31.39</v>
      </c>
      <c r="S735" s="262">
        <v>729.82</v>
      </c>
      <c r="U735" s="149">
        <f t="shared" si="71"/>
        <v>46653</v>
      </c>
      <c r="V735" s="146">
        <f t="shared" si="72"/>
        <v>23.25</v>
      </c>
      <c r="W735" s="150">
        <f t="shared" si="73"/>
        <v>9.75</v>
      </c>
      <c r="X735" s="146">
        <f t="shared" si="74"/>
        <v>9.75</v>
      </c>
    </row>
    <row r="736" spans="1:24" ht="9.75" customHeight="1" x14ac:dyDescent="0.25">
      <c r="A736" s="288">
        <v>200</v>
      </c>
      <c r="B736" s="288"/>
      <c r="D736" s="258" t="s">
        <v>353</v>
      </c>
      <c r="E736" s="289">
        <v>34881</v>
      </c>
      <c r="F736" s="289"/>
      <c r="G736" s="289"/>
      <c r="H736" s="289"/>
      <c r="I736" s="290" t="s">
        <v>205</v>
      </c>
      <c r="J736" s="290"/>
      <c r="K736" s="290"/>
      <c r="L736" s="47">
        <v>33</v>
      </c>
      <c r="M736" s="262">
        <v>1133</v>
      </c>
      <c r="N736" s="47">
        <v>100</v>
      </c>
      <c r="O736" s="291">
        <v>738.1</v>
      </c>
      <c r="P736" s="291"/>
      <c r="Q736" s="291"/>
      <c r="R736" s="262">
        <v>34.33</v>
      </c>
      <c r="S736" s="262">
        <v>772.43000000000006</v>
      </c>
      <c r="U736" s="149">
        <f t="shared" si="71"/>
        <v>46926</v>
      </c>
      <c r="V736" s="146">
        <f t="shared" si="72"/>
        <v>22.5</v>
      </c>
      <c r="W736" s="150">
        <f t="shared" si="73"/>
        <v>10.5</v>
      </c>
      <c r="X736" s="146">
        <f t="shared" si="74"/>
        <v>10.5</v>
      </c>
    </row>
    <row r="737" spans="1:24" ht="9.75" customHeight="1" x14ac:dyDescent="0.25">
      <c r="A737" s="288">
        <v>250</v>
      </c>
      <c r="B737" s="288"/>
      <c r="D737" s="258" t="s">
        <v>354</v>
      </c>
      <c r="E737" s="289">
        <v>36250</v>
      </c>
      <c r="F737" s="289"/>
      <c r="G737" s="289"/>
      <c r="H737" s="289"/>
      <c r="I737" s="290" t="s">
        <v>205</v>
      </c>
      <c r="J737" s="290"/>
      <c r="K737" s="290"/>
      <c r="L737" s="47">
        <v>33</v>
      </c>
      <c r="M737" s="262">
        <v>39.39</v>
      </c>
      <c r="N737" s="47">
        <v>100</v>
      </c>
      <c r="O737" s="291">
        <v>39.39</v>
      </c>
      <c r="P737" s="291"/>
      <c r="Q737" s="291"/>
      <c r="R737" s="262">
        <v>0</v>
      </c>
      <c r="S737" s="262">
        <v>39.39</v>
      </c>
      <c r="U737" s="149">
        <f t="shared" si="71"/>
        <v>48295</v>
      </c>
      <c r="V737" s="146">
        <f t="shared" si="72"/>
        <v>18.75</v>
      </c>
      <c r="W737" s="150">
        <f t="shared" si="73"/>
        <v>14.25</v>
      </c>
      <c r="X737" s="146">
        <f t="shared" si="74"/>
        <v>14.25</v>
      </c>
    </row>
    <row r="738" spans="1:24" ht="9.75" customHeight="1" x14ac:dyDescent="0.25">
      <c r="A738" s="288">
        <v>264</v>
      </c>
      <c r="B738" s="288"/>
      <c r="D738" s="258" t="s">
        <v>348</v>
      </c>
      <c r="E738" s="289">
        <v>36341</v>
      </c>
      <c r="F738" s="289"/>
      <c r="G738" s="289"/>
      <c r="H738" s="289"/>
      <c r="I738" s="290" t="s">
        <v>205</v>
      </c>
      <c r="J738" s="290"/>
      <c r="K738" s="290"/>
      <c r="L738" s="47">
        <v>33</v>
      </c>
      <c r="M738" s="262">
        <v>2566.25</v>
      </c>
      <c r="N738" s="47">
        <v>100</v>
      </c>
      <c r="O738" s="291">
        <v>1367.45</v>
      </c>
      <c r="P738" s="291"/>
      <c r="Q738" s="291"/>
      <c r="R738" s="262">
        <v>77.77</v>
      </c>
      <c r="S738" s="262">
        <v>1445.22</v>
      </c>
      <c r="U738" s="149">
        <f t="shared" si="71"/>
        <v>48386</v>
      </c>
      <c r="V738" s="146">
        <f t="shared" si="72"/>
        <v>18.5</v>
      </c>
      <c r="W738" s="150">
        <f t="shared" si="73"/>
        <v>14.5</v>
      </c>
      <c r="X738" s="146">
        <f t="shared" si="74"/>
        <v>14.5</v>
      </c>
    </row>
    <row r="739" spans="1:24" ht="9.75" customHeight="1" x14ac:dyDescent="0.25">
      <c r="A739" s="288">
        <v>344</v>
      </c>
      <c r="B739" s="288"/>
      <c r="D739" s="258" t="s">
        <v>355</v>
      </c>
      <c r="E739" s="289">
        <v>36950</v>
      </c>
      <c r="F739" s="289"/>
      <c r="G739" s="289"/>
      <c r="H739" s="289"/>
      <c r="I739" s="290" t="s">
        <v>205</v>
      </c>
      <c r="J739" s="290"/>
      <c r="K739" s="290"/>
      <c r="L739" s="47">
        <v>33</v>
      </c>
      <c r="M739" s="262">
        <v>7.5</v>
      </c>
      <c r="N739" s="47">
        <v>100</v>
      </c>
      <c r="O739" s="291">
        <v>3.66</v>
      </c>
      <c r="P739" s="291"/>
      <c r="Q739" s="291"/>
      <c r="R739" s="262">
        <v>0.23</v>
      </c>
      <c r="S739" s="262">
        <v>3.89</v>
      </c>
      <c r="U739" s="149">
        <f t="shared" si="71"/>
        <v>48995</v>
      </c>
      <c r="V739" s="146">
        <f t="shared" si="72"/>
        <v>16.836111111111112</v>
      </c>
      <c r="W739" s="150">
        <f t="shared" si="73"/>
        <v>16.163888888888888</v>
      </c>
      <c r="X739" s="146">
        <f t="shared" si="74"/>
        <v>16.163888888888888</v>
      </c>
    </row>
    <row r="740" spans="1:24" ht="9.75" customHeight="1" x14ac:dyDescent="0.25">
      <c r="A740" s="288">
        <v>420</v>
      </c>
      <c r="B740" s="288"/>
      <c r="D740" s="258" t="s">
        <v>66</v>
      </c>
      <c r="E740" s="289">
        <v>37499</v>
      </c>
      <c r="F740" s="289"/>
      <c r="G740" s="289"/>
      <c r="H740" s="289"/>
      <c r="I740" s="290" t="s">
        <v>205</v>
      </c>
      <c r="J740" s="290"/>
      <c r="K740" s="290"/>
      <c r="L740" s="47">
        <v>33</v>
      </c>
      <c r="M740" s="262">
        <v>1845.88</v>
      </c>
      <c r="N740" s="47">
        <v>100</v>
      </c>
      <c r="O740" s="291">
        <v>806.47</v>
      </c>
      <c r="P740" s="291"/>
      <c r="Q740" s="291"/>
      <c r="R740" s="262">
        <v>55.94</v>
      </c>
      <c r="S740" s="262">
        <v>862.41</v>
      </c>
      <c r="U740" s="149">
        <f t="shared" si="71"/>
        <v>49544</v>
      </c>
      <c r="V740" s="146">
        <f t="shared" si="72"/>
        <v>15.333333333333334</v>
      </c>
      <c r="W740" s="150">
        <f t="shared" si="73"/>
        <v>17.666666666666664</v>
      </c>
      <c r="X740" s="146">
        <f t="shared" si="74"/>
        <v>17.666666666666664</v>
      </c>
    </row>
    <row r="741" spans="1:24" ht="9.75" customHeight="1" x14ac:dyDescent="0.25">
      <c r="A741" s="288">
        <v>424</v>
      </c>
      <c r="B741" s="288"/>
      <c r="D741" s="258" t="s">
        <v>66</v>
      </c>
      <c r="E741" s="289">
        <v>37529</v>
      </c>
      <c r="F741" s="289"/>
      <c r="G741" s="289"/>
      <c r="H741" s="289"/>
      <c r="I741" s="290" t="s">
        <v>205</v>
      </c>
      <c r="J741" s="290"/>
      <c r="K741" s="290"/>
      <c r="L741" s="47">
        <v>33</v>
      </c>
      <c r="M741" s="262">
        <v>957.58</v>
      </c>
      <c r="N741" s="47">
        <v>100</v>
      </c>
      <c r="O741" s="291">
        <v>415.95</v>
      </c>
      <c r="P741" s="291"/>
      <c r="Q741" s="291"/>
      <c r="R741" s="262">
        <v>29.02</v>
      </c>
      <c r="S741" s="262">
        <v>444.97</v>
      </c>
      <c r="U741" s="149">
        <f t="shared" si="71"/>
        <v>49574</v>
      </c>
      <c r="V741" s="146">
        <f t="shared" si="72"/>
        <v>15.25</v>
      </c>
      <c r="W741" s="150">
        <f t="shared" si="73"/>
        <v>17.75</v>
      </c>
      <c r="X741" s="146">
        <f t="shared" si="74"/>
        <v>17.75</v>
      </c>
    </row>
    <row r="742" spans="1:24" ht="9.75" customHeight="1" x14ac:dyDescent="0.25">
      <c r="A742" s="288">
        <v>430</v>
      </c>
      <c r="B742" s="288"/>
      <c r="D742" s="258" t="s">
        <v>66</v>
      </c>
      <c r="E742" s="289">
        <v>37560</v>
      </c>
      <c r="F742" s="289"/>
      <c r="G742" s="289"/>
      <c r="H742" s="289"/>
      <c r="I742" s="290" t="s">
        <v>205</v>
      </c>
      <c r="J742" s="290"/>
      <c r="K742" s="290"/>
      <c r="L742" s="47">
        <v>33</v>
      </c>
      <c r="M742" s="262">
        <v>2596.5500000000002</v>
      </c>
      <c r="N742" s="47">
        <v>100</v>
      </c>
      <c r="O742" s="291">
        <v>1121.19</v>
      </c>
      <c r="P742" s="291"/>
      <c r="Q742" s="291"/>
      <c r="R742" s="262">
        <v>78.680000000000007</v>
      </c>
      <c r="S742" s="262">
        <v>1199.8699999999999</v>
      </c>
      <c r="U742" s="149">
        <f t="shared" si="71"/>
        <v>49605</v>
      </c>
      <c r="V742" s="146">
        <f t="shared" si="72"/>
        <v>15.166666666666666</v>
      </c>
      <c r="W742" s="150">
        <f t="shared" si="73"/>
        <v>17.833333333333336</v>
      </c>
      <c r="X742" s="146">
        <f t="shared" si="74"/>
        <v>17.833333333333336</v>
      </c>
    </row>
    <row r="743" spans="1:24" ht="9.75" customHeight="1" x14ac:dyDescent="0.25">
      <c r="A743" s="288">
        <v>524</v>
      </c>
      <c r="B743" s="288"/>
      <c r="D743" s="258" t="s">
        <v>356</v>
      </c>
      <c r="E743" s="289">
        <v>37986</v>
      </c>
      <c r="F743" s="289"/>
      <c r="G743" s="289"/>
      <c r="H743" s="289"/>
      <c r="I743" s="290" t="s">
        <v>205</v>
      </c>
      <c r="J743" s="290"/>
      <c r="K743" s="290"/>
      <c r="L743" s="47">
        <v>33</v>
      </c>
      <c r="M743" s="262">
        <v>30</v>
      </c>
      <c r="N743" s="47">
        <v>100</v>
      </c>
      <c r="O743" s="291">
        <v>11.91</v>
      </c>
      <c r="P743" s="291"/>
      <c r="Q743" s="291"/>
      <c r="R743" s="262">
        <v>0.91</v>
      </c>
      <c r="S743" s="262">
        <v>12.82</v>
      </c>
      <c r="U743" s="149">
        <f t="shared" si="71"/>
        <v>50031</v>
      </c>
      <c r="V743" s="146">
        <f t="shared" si="72"/>
        <v>14</v>
      </c>
      <c r="W743" s="150">
        <f t="shared" si="73"/>
        <v>19</v>
      </c>
      <c r="X743" s="146">
        <f t="shared" si="74"/>
        <v>19</v>
      </c>
    </row>
    <row r="744" spans="1:24" ht="9.75" customHeight="1" x14ac:dyDescent="0.25">
      <c r="A744" s="288">
        <v>682</v>
      </c>
      <c r="B744" s="288"/>
      <c r="D744" s="258" t="s">
        <v>356</v>
      </c>
      <c r="E744" s="289">
        <v>38923</v>
      </c>
      <c r="F744" s="289"/>
      <c r="G744" s="289"/>
      <c r="H744" s="289"/>
      <c r="I744" s="290" t="s">
        <v>205</v>
      </c>
      <c r="J744" s="290"/>
      <c r="K744" s="290"/>
      <c r="L744" s="47">
        <v>33</v>
      </c>
      <c r="M744" s="262">
        <v>570.26</v>
      </c>
      <c r="N744" s="47">
        <v>100</v>
      </c>
      <c r="O744" s="291">
        <v>180</v>
      </c>
      <c r="P744" s="291"/>
      <c r="Q744" s="291"/>
      <c r="R744" s="262">
        <v>17.28</v>
      </c>
      <c r="S744" s="262">
        <v>197.28</v>
      </c>
      <c r="U744" s="149">
        <f t="shared" si="71"/>
        <v>50968</v>
      </c>
      <c r="V744" s="146">
        <f t="shared" si="72"/>
        <v>11.433333333333334</v>
      </c>
      <c r="W744" s="150">
        <f t="shared" si="73"/>
        <v>21.566666666666666</v>
      </c>
      <c r="X744" s="146">
        <f t="shared" si="74"/>
        <v>21.566666666666666</v>
      </c>
    </row>
    <row r="745" spans="1:24" ht="9.75" customHeight="1" x14ac:dyDescent="0.25">
      <c r="A745" s="288">
        <v>695</v>
      </c>
      <c r="B745" s="288"/>
      <c r="D745" s="258" t="s">
        <v>356</v>
      </c>
      <c r="E745" s="289">
        <v>39021</v>
      </c>
      <c r="F745" s="289"/>
      <c r="G745" s="289"/>
      <c r="H745" s="289"/>
      <c r="I745" s="290" t="s">
        <v>205</v>
      </c>
      <c r="J745" s="290"/>
      <c r="K745" s="290"/>
      <c r="L745" s="47">
        <v>33</v>
      </c>
      <c r="M745" s="262">
        <v>180</v>
      </c>
      <c r="N745" s="47">
        <v>100</v>
      </c>
      <c r="O745" s="291">
        <v>55.410000000000004</v>
      </c>
      <c r="P745" s="291"/>
      <c r="Q745" s="291"/>
      <c r="R745" s="262">
        <v>5.45</v>
      </c>
      <c r="S745" s="262">
        <v>60.86</v>
      </c>
      <c r="U745" s="149">
        <f t="shared" si="71"/>
        <v>51066</v>
      </c>
      <c r="V745" s="146">
        <f t="shared" si="72"/>
        <v>11.166666666666666</v>
      </c>
      <c r="W745" s="150">
        <f t="shared" si="73"/>
        <v>21.833333333333336</v>
      </c>
      <c r="X745" s="146">
        <f t="shared" si="74"/>
        <v>21.833333333333336</v>
      </c>
    </row>
    <row r="746" spans="1:24" ht="9.75" customHeight="1" x14ac:dyDescent="0.25">
      <c r="A746" s="288">
        <v>704</v>
      </c>
      <c r="B746" s="288"/>
      <c r="D746" s="258" t="s">
        <v>357</v>
      </c>
      <c r="E746" s="289">
        <v>39082</v>
      </c>
      <c r="F746" s="289"/>
      <c r="G746" s="289"/>
      <c r="H746" s="289"/>
      <c r="I746" s="290" t="s">
        <v>205</v>
      </c>
      <c r="J746" s="290"/>
      <c r="K746" s="290"/>
      <c r="L746" s="47">
        <v>33</v>
      </c>
      <c r="M746" s="262">
        <v>45</v>
      </c>
      <c r="N746" s="47">
        <v>100</v>
      </c>
      <c r="O746" s="291">
        <v>13.6</v>
      </c>
      <c r="P746" s="291"/>
      <c r="Q746" s="291"/>
      <c r="R746" s="262">
        <v>1.36</v>
      </c>
      <c r="S746" s="262">
        <v>14.96</v>
      </c>
      <c r="U746" s="149">
        <f t="shared" si="71"/>
        <v>51127</v>
      </c>
      <c r="V746" s="146">
        <f t="shared" si="72"/>
        <v>11</v>
      </c>
      <c r="W746" s="150">
        <f t="shared" si="73"/>
        <v>22</v>
      </c>
      <c r="X746" s="146">
        <f t="shared" si="74"/>
        <v>22</v>
      </c>
    </row>
    <row r="747" spans="1:24" ht="9.75" customHeight="1" x14ac:dyDescent="0.25">
      <c r="A747" s="288">
        <v>720</v>
      </c>
      <c r="B747" s="288"/>
      <c r="D747" s="258" t="s">
        <v>66</v>
      </c>
      <c r="E747" s="289">
        <v>39691</v>
      </c>
      <c r="F747" s="289"/>
      <c r="G747" s="289"/>
      <c r="H747" s="289"/>
      <c r="I747" s="290" t="s">
        <v>205</v>
      </c>
      <c r="J747" s="290"/>
      <c r="K747" s="290"/>
      <c r="L747" s="47">
        <v>33</v>
      </c>
      <c r="M747" s="262">
        <v>150</v>
      </c>
      <c r="N747" s="47">
        <v>100</v>
      </c>
      <c r="O747" s="291">
        <v>37.92</v>
      </c>
      <c r="P747" s="291"/>
      <c r="Q747" s="291"/>
      <c r="R747" s="262">
        <v>4.55</v>
      </c>
      <c r="S747" s="262">
        <v>42.47</v>
      </c>
      <c r="U747" s="149">
        <f t="shared" si="71"/>
        <v>51736</v>
      </c>
      <c r="V747" s="146">
        <f t="shared" si="72"/>
        <v>9.3333333333333339</v>
      </c>
      <c r="W747" s="150">
        <f t="shared" si="73"/>
        <v>23.666666666666664</v>
      </c>
      <c r="X747" s="146">
        <f t="shared" si="74"/>
        <v>23.666666666666664</v>
      </c>
    </row>
    <row r="748" spans="1:24" ht="9.75" customHeight="1" x14ac:dyDescent="0.25">
      <c r="A748" s="288">
        <v>745</v>
      </c>
      <c r="B748" s="288"/>
      <c r="D748" s="258" t="s">
        <v>358</v>
      </c>
      <c r="E748" s="289">
        <v>39374</v>
      </c>
      <c r="F748" s="289"/>
      <c r="G748" s="289"/>
      <c r="H748" s="289"/>
      <c r="I748" s="290" t="s">
        <v>205</v>
      </c>
      <c r="J748" s="290"/>
      <c r="K748" s="290"/>
      <c r="L748" s="47">
        <v>33</v>
      </c>
      <c r="M748" s="262">
        <v>71.069999999999993</v>
      </c>
      <c r="N748" s="47">
        <v>100</v>
      </c>
      <c r="O748" s="291">
        <v>19.71</v>
      </c>
      <c r="P748" s="291"/>
      <c r="Q748" s="291"/>
      <c r="R748" s="262">
        <v>2.15</v>
      </c>
      <c r="S748" s="262">
        <v>21.86</v>
      </c>
      <c r="U748" s="149">
        <f t="shared" si="71"/>
        <v>51419</v>
      </c>
      <c r="V748" s="146">
        <f t="shared" si="72"/>
        <v>10.199999999999999</v>
      </c>
      <c r="W748" s="150">
        <f t="shared" si="73"/>
        <v>22.8</v>
      </c>
      <c r="X748" s="146">
        <f t="shared" si="74"/>
        <v>22.8</v>
      </c>
    </row>
    <row r="749" spans="1:24" ht="9.75" customHeight="1" x14ac:dyDescent="0.25">
      <c r="A749" s="288">
        <v>751</v>
      </c>
      <c r="B749" s="288"/>
      <c r="D749" s="258" t="s">
        <v>359</v>
      </c>
      <c r="E749" s="289">
        <v>39414</v>
      </c>
      <c r="F749" s="289"/>
      <c r="G749" s="289"/>
      <c r="H749" s="289"/>
      <c r="I749" s="290" t="s">
        <v>205</v>
      </c>
      <c r="J749" s="290"/>
      <c r="K749" s="290"/>
      <c r="L749" s="47">
        <v>33</v>
      </c>
      <c r="M749" s="262">
        <v>591.63</v>
      </c>
      <c r="N749" s="47">
        <v>100</v>
      </c>
      <c r="O749" s="291">
        <v>162.86000000000001</v>
      </c>
      <c r="P749" s="291"/>
      <c r="Q749" s="291"/>
      <c r="R749" s="262">
        <v>17.93</v>
      </c>
      <c r="S749" s="262">
        <v>180.79</v>
      </c>
      <c r="U749" s="149">
        <f t="shared" si="71"/>
        <v>51459</v>
      </c>
      <c r="V749" s="146">
        <f t="shared" si="72"/>
        <v>10.091666666666667</v>
      </c>
      <c r="W749" s="150">
        <f t="shared" si="73"/>
        <v>22.908333333333331</v>
      </c>
      <c r="X749" s="146">
        <f t="shared" si="74"/>
        <v>22.908333333333331</v>
      </c>
    </row>
    <row r="750" spans="1:24" ht="9.75" customHeight="1" x14ac:dyDescent="0.25">
      <c r="A750" s="288">
        <v>752</v>
      </c>
      <c r="B750" s="288"/>
      <c r="D750" s="258" t="s">
        <v>360</v>
      </c>
      <c r="E750" s="289">
        <v>39414</v>
      </c>
      <c r="F750" s="289"/>
      <c r="G750" s="289"/>
      <c r="H750" s="289"/>
      <c r="I750" s="290" t="s">
        <v>205</v>
      </c>
      <c r="J750" s="290"/>
      <c r="K750" s="290"/>
      <c r="L750" s="47">
        <v>33</v>
      </c>
      <c r="M750" s="262">
        <v>130.88</v>
      </c>
      <c r="N750" s="47">
        <v>100</v>
      </c>
      <c r="O750" s="291">
        <v>36.06</v>
      </c>
      <c r="P750" s="291"/>
      <c r="Q750" s="291"/>
      <c r="R750" s="262">
        <v>3.97</v>
      </c>
      <c r="S750" s="262">
        <v>40.03</v>
      </c>
      <c r="U750" s="149">
        <f t="shared" si="71"/>
        <v>51459</v>
      </c>
      <c r="V750" s="146">
        <f t="shared" si="72"/>
        <v>10.091666666666667</v>
      </c>
      <c r="W750" s="150">
        <f t="shared" si="73"/>
        <v>22.908333333333331</v>
      </c>
      <c r="X750" s="146">
        <f t="shared" si="74"/>
        <v>22.908333333333331</v>
      </c>
    </row>
    <row r="751" spans="1:24" ht="9.75" customHeight="1" x14ac:dyDescent="0.25">
      <c r="A751" s="288">
        <v>773</v>
      </c>
      <c r="B751" s="288"/>
      <c r="D751" s="258" t="s">
        <v>357</v>
      </c>
      <c r="E751" s="289">
        <v>39813</v>
      </c>
      <c r="F751" s="289"/>
      <c r="G751" s="289"/>
      <c r="H751" s="289"/>
      <c r="I751" s="290" t="s">
        <v>205</v>
      </c>
      <c r="J751" s="290"/>
      <c r="K751" s="290"/>
      <c r="L751" s="47">
        <v>33</v>
      </c>
      <c r="M751" s="262">
        <v>7.5</v>
      </c>
      <c r="N751" s="47">
        <v>100</v>
      </c>
      <c r="O751" s="291">
        <v>1.84</v>
      </c>
      <c r="P751" s="291"/>
      <c r="Q751" s="291"/>
      <c r="R751" s="262">
        <v>0.23</v>
      </c>
      <c r="S751" s="262">
        <v>2.0699999999999998</v>
      </c>
      <c r="U751" s="149">
        <f t="shared" si="71"/>
        <v>51858</v>
      </c>
      <c r="V751" s="146">
        <f t="shared" si="72"/>
        <v>9</v>
      </c>
      <c r="W751" s="150">
        <f t="shared" si="73"/>
        <v>24</v>
      </c>
      <c r="X751" s="146">
        <f t="shared" si="74"/>
        <v>24</v>
      </c>
    </row>
    <row r="752" spans="1:24" ht="9.75" customHeight="1" x14ac:dyDescent="0.25">
      <c r="A752" s="288">
        <v>827</v>
      </c>
      <c r="B752" s="288"/>
      <c r="D752" s="258" t="s">
        <v>356</v>
      </c>
      <c r="E752" s="289">
        <v>40268</v>
      </c>
      <c r="F752" s="289"/>
      <c r="G752" s="289"/>
      <c r="H752" s="289"/>
      <c r="I752" s="290" t="s">
        <v>205</v>
      </c>
      <c r="J752" s="290"/>
      <c r="K752" s="290"/>
      <c r="L752" s="47">
        <v>33</v>
      </c>
      <c r="M752" s="262">
        <v>18</v>
      </c>
      <c r="N752" s="47">
        <v>100</v>
      </c>
      <c r="O752" s="291">
        <v>3.71</v>
      </c>
      <c r="P752" s="291"/>
      <c r="Q752" s="291"/>
      <c r="R752" s="262">
        <v>0.55000000000000004</v>
      </c>
      <c r="S752" s="262">
        <v>4.26</v>
      </c>
      <c r="U752" s="149">
        <f t="shared" si="71"/>
        <v>52313</v>
      </c>
      <c r="V752" s="146">
        <f t="shared" si="72"/>
        <v>7.75</v>
      </c>
      <c r="W752" s="150">
        <f t="shared" si="73"/>
        <v>25.25</v>
      </c>
      <c r="X752" s="146">
        <f t="shared" si="74"/>
        <v>25.25</v>
      </c>
    </row>
    <row r="753" spans="1:24" ht="9.75" customHeight="1" x14ac:dyDescent="0.25">
      <c r="A753" s="288">
        <v>844</v>
      </c>
      <c r="B753" s="288"/>
      <c r="D753" s="258" t="s">
        <v>174</v>
      </c>
      <c r="E753" s="289">
        <v>40390</v>
      </c>
      <c r="F753" s="289"/>
      <c r="G753" s="289"/>
      <c r="H753" s="289"/>
      <c r="I753" s="290" t="s">
        <v>205</v>
      </c>
      <c r="J753" s="290"/>
      <c r="K753" s="290"/>
      <c r="L753" s="47">
        <v>33</v>
      </c>
      <c r="M753" s="262">
        <v>782.1</v>
      </c>
      <c r="N753" s="47">
        <v>100</v>
      </c>
      <c r="O753" s="291">
        <v>152.08000000000001</v>
      </c>
      <c r="P753" s="291"/>
      <c r="Q753" s="291"/>
      <c r="R753" s="262">
        <v>23.7</v>
      </c>
      <c r="S753" s="262">
        <v>175.78</v>
      </c>
      <c r="U753" s="149">
        <f t="shared" si="71"/>
        <v>52435</v>
      </c>
      <c r="V753" s="146">
        <f t="shared" si="72"/>
        <v>7.416666666666667</v>
      </c>
      <c r="W753" s="150">
        <f t="shared" si="73"/>
        <v>25.583333333333332</v>
      </c>
      <c r="X753" s="146">
        <f t="shared" si="74"/>
        <v>25.583333333333332</v>
      </c>
    </row>
    <row r="754" spans="1:24" ht="9.75" customHeight="1" x14ac:dyDescent="0.25">
      <c r="A754" s="288">
        <v>855</v>
      </c>
      <c r="B754" s="288"/>
      <c r="D754" s="258" t="s">
        <v>361</v>
      </c>
      <c r="E754" s="289">
        <v>40482</v>
      </c>
      <c r="F754" s="289"/>
      <c r="G754" s="289"/>
      <c r="H754" s="289"/>
      <c r="I754" s="290" t="s">
        <v>205</v>
      </c>
      <c r="J754" s="290"/>
      <c r="K754" s="290"/>
      <c r="L754" s="47">
        <v>33</v>
      </c>
      <c r="M754" s="262">
        <v>1564.2</v>
      </c>
      <c r="N754" s="47">
        <v>100</v>
      </c>
      <c r="O754" s="291">
        <v>292.3</v>
      </c>
      <c r="P754" s="291"/>
      <c r="Q754" s="291"/>
      <c r="R754" s="262">
        <v>47.4</v>
      </c>
      <c r="S754" s="262">
        <v>339.7</v>
      </c>
      <c r="U754" s="149">
        <f t="shared" si="71"/>
        <v>52527</v>
      </c>
      <c r="V754" s="146">
        <f t="shared" si="72"/>
        <v>7.166666666666667</v>
      </c>
      <c r="W754" s="150">
        <f t="shared" si="73"/>
        <v>25.833333333333332</v>
      </c>
      <c r="X754" s="146">
        <f t="shared" si="74"/>
        <v>25.833333333333332</v>
      </c>
    </row>
    <row r="755" spans="1:24" ht="9.75" customHeight="1" x14ac:dyDescent="0.25">
      <c r="A755" s="288">
        <v>858</v>
      </c>
      <c r="B755" s="288"/>
      <c r="D755" s="258" t="s">
        <v>362</v>
      </c>
      <c r="E755" s="289">
        <v>40512</v>
      </c>
      <c r="F755" s="289"/>
      <c r="G755" s="289"/>
      <c r="H755" s="289"/>
      <c r="I755" s="290" t="s">
        <v>205</v>
      </c>
      <c r="J755" s="290"/>
      <c r="K755" s="290"/>
      <c r="L755" s="47">
        <v>33</v>
      </c>
      <c r="M755" s="262">
        <v>782.1</v>
      </c>
      <c r="N755" s="47">
        <v>100</v>
      </c>
      <c r="O755" s="291">
        <v>144.16999999999999</v>
      </c>
      <c r="P755" s="291"/>
      <c r="Q755" s="291"/>
      <c r="R755" s="262">
        <v>23.7</v>
      </c>
      <c r="S755" s="262">
        <v>167.87</v>
      </c>
      <c r="U755" s="149">
        <f t="shared" si="71"/>
        <v>52557</v>
      </c>
      <c r="V755" s="146">
        <f t="shared" si="72"/>
        <v>7.083333333333333</v>
      </c>
      <c r="W755" s="150">
        <f t="shared" si="73"/>
        <v>25.916666666666668</v>
      </c>
      <c r="X755" s="146">
        <f t="shared" si="74"/>
        <v>25.916666666666668</v>
      </c>
    </row>
    <row r="756" spans="1:24" ht="9.75" customHeight="1" x14ac:dyDescent="0.25">
      <c r="A756" s="288">
        <v>873</v>
      </c>
      <c r="B756" s="288"/>
      <c r="D756" s="258" t="s">
        <v>356</v>
      </c>
      <c r="E756" s="289">
        <v>40543</v>
      </c>
      <c r="F756" s="289"/>
      <c r="G756" s="289"/>
      <c r="H756" s="289"/>
      <c r="I756" s="290" t="s">
        <v>205</v>
      </c>
      <c r="J756" s="290"/>
      <c r="K756" s="290"/>
      <c r="L756" s="47">
        <v>33</v>
      </c>
      <c r="M756" s="262">
        <v>2425.61</v>
      </c>
      <c r="N756" s="47">
        <v>100</v>
      </c>
      <c r="O756" s="291">
        <v>441</v>
      </c>
      <c r="P756" s="291"/>
      <c r="Q756" s="291"/>
      <c r="R756" s="262">
        <v>73.5</v>
      </c>
      <c r="S756" s="262">
        <v>514.5</v>
      </c>
      <c r="U756" s="149">
        <f t="shared" si="71"/>
        <v>52588</v>
      </c>
      <c r="V756" s="146">
        <f t="shared" si="72"/>
        <v>7</v>
      </c>
      <c r="W756" s="150">
        <f t="shared" si="73"/>
        <v>26</v>
      </c>
      <c r="X756" s="146">
        <f t="shared" si="74"/>
        <v>26</v>
      </c>
    </row>
    <row r="757" spans="1:24" ht="9.75" customHeight="1" x14ac:dyDescent="0.25">
      <c r="A757" s="288">
        <v>878</v>
      </c>
      <c r="B757" s="288"/>
      <c r="D757" s="258" t="s">
        <v>363</v>
      </c>
      <c r="E757" s="289">
        <v>40543</v>
      </c>
      <c r="F757" s="289"/>
      <c r="G757" s="289"/>
      <c r="H757" s="289"/>
      <c r="I757" s="290" t="s">
        <v>258</v>
      </c>
      <c r="J757" s="290"/>
      <c r="K757" s="290"/>
      <c r="L757" s="47">
        <v>33</v>
      </c>
      <c r="M757" s="262">
        <v>36</v>
      </c>
      <c r="N757" s="47">
        <v>100</v>
      </c>
      <c r="O757" s="291">
        <v>36</v>
      </c>
      <c r="P757" s="291"/>
      <c r="Q757" s="291"/>
      <c r="R757" s="262">
        <v>0</v>
      </c>
      <c r="S757" s="262">
        <v>36</v>
      </c>
      <c r="U757" s="149">
        <f t="shared" si="71"/>
        <v>52588</v>
      </c>
      <c r="V757" s="146">
        <f t="shared" si="72"/>
        <v>7</v>
      </c>
      <c r="W757" s="150">
        <f t="shared" si="73"/>
        <v>26</v>
      </c>
      <c r="X757" s="146">
        <f t="shared" ref="X757:X762" si="75">IF(W757=0,0,W757)</f>
        <v>26</v>
      </c>
    </row>
    <row r="758" spans="1:24" ht="9.75" customHeight="1" x14ac:dyDescent="0.25">
      <c r="A758" s="288">
        <v>930</v>
      </c>
      <c r="B758" s="288"/>
      <c r="D758" s="258" t="s">
        <v>362</v>
      </c>
      <c r="E758" s="289">
        <v>40908</v>
      </c>
      <c r="F758" s="289"/>
      <c r="G758" s="289"/>
      <c r="H758" s="289"/>
      <c r="I758" s="290" t="s">
        <v>205</v>
      </c>
      <c r="J758" s="290"/>
      <c r="K758" s="290"/>
      <c r="L758" s="47">
        <v>33</v>
      </c>
      <c r="M758" s="262">
        <v>71.489999999999995</v>
      </c>
      <c r="N758" s="47">
        <v>100</v>
      </c>
      <c r="O758" s="291">
        <v>10.85</v>
      </c>
      <c r="P758" s="291"/>
      <c r="Q758" s="291"/>
      <c r="R758" s="262">
        <v>2.17</v>
      </c>
      <c r="S758" s="262">
        <v>13.02</v>
      </c>
      <c r="U758" s="149">
        <f t="shared" si="71"/>
        <v>52953</v>
      </c>
      <c r="V758" s="146">
        <f t="shared" si="72"/>
        <v>6</v>
      </c>
      <c r="W758" s="150">
        <f t="shared" si="73"/>
        <v>27</v>
      </c>
      <c r="X758" s="146">
        <f t="shared" si="75"/>
        <v>27</v>
      </c>
    </row>
    <row r="759" spans="1:24" ht="9.75" customHeight="1" x14ac:dyDescent="0.25">
      <c r="A759" s="288">
        <v>952</v>
      </c>
      <c r="B759" s="288"/>
      <c r="D759" s="258" t="s">
        <v>362</v>
      </c>
      <c r="E759" s="289">
        <v>41090</v>
      </c>
      <c r="F759" s="289"/>
      <c r="G759" s="289"/>
      <c r="H759" s="289"/>
      <c r="I759" s="290" t="s">
        <v>205</v>
      </c>
      <c r="J759" s="290"/>
      <c r="K759" s="290"/>
      <c r="L759" s="47">
        <v>33</v>
      </c>
      <c r="M759" s="262">
        <v>54</v>
      </c>
      <c r="N759" s="47">
        <v>100</v>
      </c>
      <c r="O759" s="291">
        <v>7.38</v>
      </c>
      <c r="P759" s="291"/>
      <c r="Q759" s="291"/>
      <c r="R759" s="262">
        <v>1.6400000000000001</v>
      </c>
      <c r="S759" s="262">
        <v>9.02</v>
      </c>
      <c r="U759" s="149">
        <f t="shared" si="71"/>
        <v>53135</v>
      </c>
      <c r="V759" s="146">
        <f t="shared" si="72"/>
        <v>5.5</v>
      </c>
      <c r="W759" s="150">
        <f t="shared" si="73"/>
        <v>27.5</v>
      </c>
      <c r="X759" s="146">
        <f t="shared" si="75"/>
        <v>27.5</v>
      </c>
    </row>
    <row r="760" spans="1:24" ht="9.75" customHeight="1" x14ac:dyDescent="0.25">
      <c r="A760" s="288">
        <v>958</v>
      </c>
      <c r="B760" s="288"/>
      <c r="D760" s="258" t="s">
        <v>361</v>
      </c>
      <c r="E760" s="289">
        <v>41121</v>
      </c>
      <c r="F760" s="289"/>
      <c r="G760" s="289"/>
      <c r="H760" s="289"/>
      <c r="I760" s="290" t="s">
        <v>205</v>
      </c>
      <c r="J760" s="290"/>
      <c r="K760" s="290"/>
      <c r="L760" s="47">
        <v>33</v>
      </c>
      <c r="M760" s="262">
        <v>36</v>
      </c>
      <c r="N760" s="47">
        <v>100</v>
      </c>
      <c r="O760" s="291">
        <v>4.8099999999999996</v>
      </c>
      <c r="P760" s="291"/>
      <c r="Q760" s="291"/>
      <c r="R760" s="262">
        <v>1.0900000000000001</v>
      </c>
      <c r="S760" s="262">
        <v>5.9</v>
      </c>
      <c r="U760" s="149">
        <f t="shared" si="71"/>
        <v>53166</v>
      </c>
      <c r="V760" s="146">
        <f t="shared" si="72"/>
        <v>5.416666666666667</v>
      </c>
      <c r="W760" s="150">
        <f t="shared" si="73"/>
        <v>27.583333333333332</v>
      </c>
      <c r="X760" s="146">
        <f t="shared" si="75"/>
        <v>27.583333333333332</v>
      </c>
    </row>
    <row r="761" spans="1:24" ht="9.75" customHeight="1" x14ac:dyDescent="0.25">
      <c r="A761" s="288">
        <v>1097</v>
      </c>
      <c r="B761" s="288"/>
      <c r="D761" s="258" t="s">
        <v>364</v>
      </c>
      <c r="E761" s="289">
        <v>42400</v>
      </c>
      <c r="F761" s="289"/>
      <c r="G761" s="289"/>
      <c r="H761" s="289"/>
      <c r="I761" s="290" t="s">
        <v>205</v>
      </c>
      <c r="J761" s="290"/>
      <c r="K761" s="290"/>
      <c r="L761" s="47">
        <v>33</v>
      </c>
      <c r="M761" s="262">
        <v>950</v>
      </c>
      <c r="N761" s="47">
        <v>100</v>
      </c>
      <c r="O761" s="291">
        <v>26.39</v>
      </c>
      <c r="P761" s="291"/>
      <c r="Q761" s="291"/>
      <c r="R761" s="262">
        <v>28.79</v>
      </c>
      <c r="S761" s="262">
        <v>55.18</v>
      </c>
      <c r="U761" s="149">
        <f t="shared" si="71"/>
        <v>54445</v>
      </c>
      <c r="V761" s="146">
        <f t="shared" si="72"/>
        <v>1.9166666666666667</v>
      </c>
      <c r="W761" s="150">
        <f t="shared" si="73"/>
        <v>31.083333333333332</v>
      </c>
      <c r="X761" s="146">
        <f t="shared" si="75"/>
        <v>31.083333333333332</v>
      </c>
    </row>
    <row r="762" spans="1:24" ht="9.75" customHeight="1" x14ac:dyDescent="0.25">
      <c r="A762" s="288">
        <v>1120</v>
      </c>
      <c r="B762" s="288"/>
      <c r="D762" s="258" t="s">
        <v>364</v>
      </c>
      <c r="E762" s="289">
        <v>42551</v>
      </c>
      <c r="F762" s="289"/>
      <c r="G762" s="289"/>
      <c r="H762" s="289"/>
      <c r="I762" s="290" t="s">
        <v>205</v>
      </c>
      <c r="J762" s="290"/>
      <c r="K762" s="290"/>
      <c r="L762" s="47">
        <v>33</v>
      </c>
      <c r="M762" s="262">
        <v>191.25</v>
      </c>
      <c r="N762" s="47">
        <v>100</v>
      </c>
      <c r="O762" s="291">
        <v>2.9</v>
      </c>
      <c r="P762" s="291"/>
      <c r="Q762" s="291"/>
      <c r="R762" s="262">
        <v>5.8</v>
      </c>
      <c r="S762" s="262">
        <v>8.6999999999999993</v>
      </c>
      <c r="U762" s="149">
        <f t="shared" si="71"/>
        <v>54596</v>
      </c>
      <c r="V762" s="146">
        <f t="shared" si="72"/>
        <v>1.5</v>
      </c>
      <c r="W762" s="150">
        <f t="shared" si="73"/>
        <v>31.5</v>
      </c>
      <c r="X762" s="146">
        <f t="shared" si="75"/>
        <v>31.5</v>
      </c>
    </row>
    <row r="763" spans="1:24" ht="2.25" customHeight="1" x14ac:dyDescent="0.25">
      <c r="X763" s="146"/>
    </row>
    <row r="764" spans="1:24" ht="12" customHeight="1" x14ac:dyDescent="0.25">
      <c r="A764" s="283" t="s">
        <v>365</v>
      </c>
      <c r="B764" s="283"/>
      <c r="C764" s="283"/>
      <c r="D764" s="283"/>
      <c r="E764" s="283"/>
      <c r="F764" s="283"/>
      <c r="G764" s="283"/>
      <c r="M764" s="260">
        <v>36391.24</v>
      </c>
      <c r="O764" s="284">
        <v>20041.46</v>
      </c>
      <c r="P764" s="284"/>
      <c r="Q764" s="284"/>
      <c r="R764" s="260">
        <v>1100.5</v>
      </c>
      <c r="S764" s="260">
        <v>21141.96</v>
      </c>
      <c r="U764" s="281" t="s">
        <v>208</v>
      </c>
      <c r="V764" s="282"/>
      <c r="W764" s="147">
        <f>AVERAGE(W726:W762)</f>
        <v>18.507132132132131</v>
      </c>
      <c r="X764" s="147">
        <f>AVERAGE(X726:X762)</f>
        <v>18.507132132132131</v>
      </c>
    </row>
    <row r="765" spans="1:24" ht="14.25" customHeight="1" x14ac:dyDescent="0.25">
      <c r="B765" s="283" t="s">
        <v>209</v>
      </c>
      <c r="C765" s="283"/>
      <c r="D765" s="283"/>
      <c r="E765" s="283"/>
      <c r="F765" s="283"/>
      <c r="G765" s="283"/>
      <c r="H765" s="283"/>
      <c r="M765" s="261">
        <v>0</v>
      </c>
      <c r="O765" s="285">
        <v>0</v>
      </c>
      <c r="P765" s="285"/>
      <c r="Q765" s="285"/>
      <c r="R765" s="261">
        <v>0</v>
      </c>
      <c r="S765" s="261">
        <v>0</v>
      </c>
      <c r="X765" s="146"/>
    </row>
    <row r="766" spans="1:24" ht="9.75" customHeight="1" thickBot="1" x14ac:dyDescent="0.3">
      <c r="A766" s="283" t="s">
        <v>366</v>
      </c>
      <c r="B766" s="283"/>
      <c r="C766" s="283"/>
      <c r="D766" s="283"/>
      <c r="E766" s="283"/>
      <c r="F766" s="283"/>
      <c r="G766" s="283"/>
      <c r="M766" s="286">
        <v>36391.24</v>
      </c>
      <c r="O766" s="286">
        <v>20041.46</v>
      </c>
      <c r="P766" s="286"/>
      <c r="Q766" s="286"/>
      <c r="R766" s="286">
        <v>1100.5</v>
      </c>
      <c r="S766" s="286">
        <v>21141.96</v>
      </c>
      <c r="X766" s="146"/>
    </row>
    <row r="767" spans="1:24" ht="6" customHeight="1" thickTop="1" thickBot="1" x14ac:dyDescent="0.3">
      <c r="M767" s="286"/>
      <c r="O767" s="286"/>
      <c r="P767" s="286"/>
      <c r="Q767" s="286"/>
      <c r="R767" s="286"/>
      <c r="S767" s="286"/>
      <c r="X767" s="146"/>
    </row>
    <row r="768" spans="1:24" ht="2.25" customHeight="1" thickTop="1" x14ac:dyDescent="0.25">
      <c r="X768" s="146"/>
    </row>
    <row r="769" spans="1:24" ht="14.25" customHeight="1" x14ac:dyDescent="0.25">
      <c r="A769" s="283" t="s">
        <v>68</v>
      </c>
      <c r="B769" s="283"/>
      <c r="C769" s="283"/>
      <c r="D769" s="283"/>
      <c r="E769" s="283"/>
      <c r="F769" s="283"/>
      <c r="G769" s="283"/>
      <c r="H769" s="283"/>
      <c r="I769" s="283"/>
      <c r="J769" s="283"/>
      <c r="K769" s="283"/>
      <c r="L769" s="283"/>
      <c r="M769" s="283"/>
      <c r="N769" s="283"/>
      <c r="O769" s="283"/>
      <c r="P769" s="283"/>
      <c r="Q769" s="283"/>
      <c r="R769" s="283"/>
      <c r="S769" s="283"/>
      <c r="T769" s="283"/>
      <c r="U769" s="140" t="s">
        <v>201</v>
      </c>
      <c r="V769" s="141">
        <v>43100</v>
      </c>
      <c r="W769" s="140" t="s">
        <v>202</v>
      </c>
      <c r="X769" s="148" t="s">
        <v>203</v>
      </c>
    </row>
    <row r="770" spans="1:24" ht="2.25" customHeight="1" x14ac:dyDescent="0.25">
      <c r="W770" s="142"/>
      <c r="X770" s="146"/>
    </row>
    <row r="771" spans="1:24" ht="0.75" customHeight="1" x14ac:dyDescent="0.25">
      <c r="X771" s="146"/>
    </row>
    <row r="772" spans="1:24" ht="9.75" customHeight="1" x14ac:dyDescent="0.25">
      <c r="A772" s="288">
        <v>23</v>
      </c>
      <c r="B772" s="288"/>
      <c r="D772" s="258" t="s">
        <v>68</v>
      </c>
      <c r="E772" s="289">
        <v>39478</v>
      </c>
      <c r="F772" s="289"/>
      <c r="G772" s="289"/>
      <c r="H772" s="289"/>
      <c r="I772" s="290" t="s">
        <v>205</v>
      </c>
      <c r="J772" s="290"/>
      <c r="K772" s="290"/>
      <c r="L772" s="47">
        <v>33</v>
      </c>
      <c r="M772" s="262">
        <v>225</v>
      </c>
      <c r="N772" s="47">
        <v>100</v>
      </c>
      <c r="O772" s="291">
        <v>60.81</v>
      </c>
      <c r="P772" s="291"/>
      <c r="Q772" s="291"/>
      <c r="R772" s="262">
        <v>6.82</v>
      </c>
      <c r="S772" s="262">
        <v>67.63</v>
      </c>
      <c r="U772" s="149">
        <f t="shared" ref="U772:U835" si="76">E772+(L772*365)</f>
        <v>51523</v>
      </c>
      <c r="V772" s="146">
        <f t="shared" ref="V772:V835" si="77">YEARFRAC(E772,$V$14)</f>
        <v>9.9166666666666661</v>
      </c>
      <c r="W772" s="150">
        <f t="shared" ref="W772:W835" si="78">IF(V772&gt;L772,0,L772-V772)</f>
        <v>23.083333333333336</v>
      </c>
      <c r="X772" s="146">
        <f t="shared" ref="X772:X803" si="79">IF(W772=0,0,W772)</f>
        <v>23.083333333333336</v>
      </c>
    </row>
    <row r="773" spans="1:24" ht="9.75" customHeight="1" x14ac:dyDescent="0.25">
      <c r="A773" s="288">
        <v>46</v>
      </c>
      <c r="B773" s="288"/>
      <c r="D773" s="258" t="s">
        <v>68</v>
      </c>
      <c r="E773" s="289">
        <v>39507</v>
      </c>
      <c r="F773" s="289"/>
      <c r="G773" s="289"/>
      <c r="H773" s="289"/>
      <c r="I773" s="290" t="s">
        <v>205</v>
      </c>
      <c r="J773" s="290"/>
      <c r="K773" s="290"/>
      <c r="L773" s="47">
        <v>33</v>
      </c>
      <c r="M773" s="262">
        <v>102.55</v>
      </c>
      <c r="N773" s="47">
        <v>100</v>
      </c>
      <c r="O773" s="291">
        <v>27.47</v>
      </c>
      <c r="P773" s="291"/>
      <c r="Q773" s="291"/>
      <c r="R773" s="262">
        <v>3.11</v>
      </c>
      <c r="S773" s="262">
        <v>30.580000000000002</v>
      </c>
      <c r="U773" s="149">
        <f t="shared" si="76"/>
        <v>51552</v>
      </c>
      <c r="V773" s="146">
        <f t="shared" si="77"/>
        <v>9.8361111111111104</v>
      </c>
      <c r="W773" s="150">
        <f t="shared" si="78"/>
        <v>23.163888888888891</v>
      </c>
      <c r="X773" s="146">
        <f t="shared" si="79"/>
        <v>23.163888888888891</v>
      </c>
    </row>
    <row r="774" spans="1:24" ht="9.75" customHeight="1" x14ac:dyDescent="0.25">
      <c r="A774" s="288">
        <v>53</v>
      </c>
      <c r="B774" s="288"/>
      <c r="D774" s="258" t="s">
        <v>68</v>
      </c>
      <c r="E774" s="289">
        <v>39538</v>
      </c>
      <c r="F774" s="289"/>
      <c r="G774" s="289"/>
      <c r="H774" s="289"/>
      <c r="I774" s="290" t="s">
        <v>205</v>
      </c>
      <c r="J774" s="290"/>
      <c r="K774" s="290"/>
      <c r="L774" s="47">
        <v>33</v>
      </c>
      <c r="M774" s="262">
        <v>196.17000000000002</v>
      </c>
      <c r="N774" s="47">
        <v>100</v>
      </c>
      <c r="O774" s="291">
        <v>51.980000000000004</v>
      </c>
      <c r="P774" s="291"/>
      <c r="Q774" s="291"/>
      <c r="R774" s="262">
        <v>5.94</v>
      </c>
      <c r="S774" s="262">
        <v>57.92</v>
      </c>
      <c r="U774" s="149">
        <f t="shared" si="76"/>
        <v>51583</v>
      </c>
      <c r="V774" s="146">
        <f t="shared" si="77"/>
        <v>9.75</v>
      </c>
      <c r="W774" s="150">
        <f t="shared" si="78"/>
        <v>23.25</v>
      </c>
      <c r="X774" s="146">
        <f t="shared" si="79"/>
        <v>23.25</v>
      </c>
    </row>
    <row r="775" spans="1:24" ht="9.75" customHeight="1" x14ac:dyDescent="0.25">
      <c r="A775" s="288">
        <v>63</v>
      </c>
      <c r="B775" s="288"/>
      <c r="D775" s="258" t="s">
        <v>68</v>
      </c>
      <c r="E775" s="289">
        <v>39568</v>
      </c>
      <c r="F775" s="289"/>
      <c r="G775" s="289"/>
      <c r="H775" s="289"/>
      <c r="I775" s="290" t="s">
        <v>205</v>
      </c>
      <c r="J775" s="290"/>
      <c r="K775" s="290"/>
      <c r="L775" s="47">
        <v>33</v>
      </c>
      <c r="M775" s="262">
        <v>225</v>
      </c>
      <c r="N775" s="47">
        <v>100</v>
      </c>
      <c r="O775" s="291">
        <v>59.11</v>
      </c>
      <c r="P775" s="291"/>
      <c r="Q775" s="291"/>
      <c r="R775" s="262">
        <v>6.82</v>
      </c>
      <c r="S775" s="262">
        <v>65.930000000000007</v>
      </c>
      <c r="U775" s="149">
        <f t="shared" si="76"/>
        <v>51613</v>
      </c>
      <c r="V775" s="146">
        <f t="shared" si="77"/>
        <v>9.6666666666666661</v>
      </c>
      <c r="W775" s="150">
        <f t="shared" si="78"/>
        <v>23.333333333333336</v>
      </c>
      <c r="X775" s="146">
        <f t="shared" si="79"/>
        <v>23.333333333333336</v>
      </c>
    </row>
    <row r="776" spans="1:24" ht="9.75" customHeight="1" x14ac:dyDescent="0.25">
      <c r="A776" s="288">
        <v>66</v>
      </c>
      <c r="B776" s="288"/>
      <c r="D776" s="258" t="s">
        <v>68</v>
      </c>
      <c r="E776" s="289">
        <v>39599</v>
      </c>
      <c r="F776" s="289"/>
      <c r="G776" s="289"/>
      <c r="H776" s="289"/>
      <c r="I776" s="290" t="s">
        <v>205</v>
      </c>
      <c r="J776" s="290"/>
      <c r="K776" s="290"/>
      <c r="L776" s="47">
        <v>33</v>
      </c>
      <c r="M776" s="262">
        <v>223.99</v>
      </c>
      <c r="N776" s="47">
        <v>100</v>
      </c>
      <c r="O776" s="291">
        <v>58.28</v>
      </c>
      <c r="P776" s="291"/>
      <c r="Q776" s="291"/>
      <c r="R776" s="262">
        <v>6.79</v>
      </c>
      <c r="S776" s="262">
        <v>65.069999999999993</v>
      </c>
      <c r="U776" s="149">
        <f t="shared" si="76"/>
        <v>51644</v>
      </c>
      <c r="V776" s="146">
        <f t="shared" si="77"/>
        <v>9.5833333333333339</v>
      </c>
      <c r="W776" s="150">
        <f t="shared" si="78"/>
        <v>23.416666666666664</v>
      </c>
      <c r="X776" s="146">
        <f t="shared" si="79"/>
        <v>23.416666666666664</v>
      </c>
    </row>
    <row r="777" spans="1:24" ht="9.75" customHeight="1" x14ac:dyDescent="0.25">
      <c r="A777" s="288">
        <v>68</v>
      </c>
      <c r="B777" s="288"/>
      <c r="D777" s="258" t="s">
        <v>68</v>
      </c>
      <c r="E777" s="289">
        <v>32873</v>
      </c>
      <c r="F777" s="289"/>
      <c r="G777" s="289"/>
      <c r="H777" s="289"/>
      <c r="I777" s="290" t="s">
        <v>205</v>
      </c>
      <c r="J777" s="290"/>
      <c r="K777" s="290"/>
      <c r="L777" s="47">
        <v>33</v>
      </c>
      <c r="M777" s="262">
        <v>12983</v>
      </c>
      <c r="N777" s="47">
        <v>100</v>
      </c>
      <c r="O777" s="291">
        <v>10655.130000000001</v>
      </c>
      <c r="P777" s="291"/>
      <c r="Q777" s="291"/>
      <c r="R777" s="262">
        <v>393.42</v>
      </c>
      <c r="S777" s="262">
        <v>11048.550000000001</v>
      </c>
      <c r="U777" s="149">
        <f t="shared" si="76"/>
        <v>44918</v>
      </c>
      <c r="V777" s="146">
        <f t="shared" si="77"/>
        <v>28</v>
      </c>
      <c r="W777" s="150">
        <f t="shared" si="78"/>
        <v>5</v>
      </c>
      <c r="X777" s="146">
        <f t="shared" si="79"/>
        <v>5</v>
      </c>
    </row>
    <row r="778" spans="1:24" ht="9.75" customHeight="1" x14ac:dyDescent="0.25">
      <c r="A778" s="288">
        <v>72</v>
      </c>
      <c r="B778" s="288"/>
      <c r="D778" s="258" t="s">
        <v>68</v>
      </c>
      <c r="E778" s="289">
        <v>32598</v>
      </c>
      <c r="F778" s="289"/>
      <c r="G778" s="289"/>
      <c r="H778" s="289"/>
      <c r="I778" s="290" t="s">
        <v>205</v>
      </c>
      <c r="J778" s="290"/>
      <c r="K778" s="290"/>
      <c r="L778" s="47">
        <v>33</v>
      </c>
      <c r="M778" s="262">
        <v>131</v>
      </c>
      <c r="N778" s="47">
        <v>100</v>
      </c>
      <c r="O778" s="291">
        <v>110.5</v>
      </c>
      <c r="P778" s="291"/>
      <c r="Q778" s="291"/>
      <c r="R778" s="262">
        <v>3.97</v>
      </c>
      <c r="S778" s="262">
        <v>114.47</v>
      </c>
      <c r="U778" s="149">
        <f t="shared" si="76"/>
        <v>44643</v>
      </c>
      <c r="V778" s="146">
        <f t="shared" si="77"/>
        <v>28.75</v>
      </c>
      <c r="W778" s="150">
        <f t="shared" si="78"/>
        <v>4.25</v>
      </c>
      <c r="X778" s="146">
        <f t="shared" si="79"/>
        <v>4.25</v>
      </c>
    </row>
    <row r="779" spans="1:24" ht="9.75" customHeight="1" x14ac:dyDescent="0.25">
      <c r="A779" s="288">
        <v>73</v>
      </c>
      <c r="B779" s="288"/>
      <c r="D779" s="258" t="s">
        <v>68</v>
      </c>
      <c r="E779" s="289">
        <v>32689</v>
      </c>
      <c r="F779" s="289"/>
      <c r="G779" s="289"/>
      <c r="H779" s="289"/>
      <c r="I779" s="290" t="s">
        <v>205</v>
      </c>
      <c r="J779" s="290"/>
      <c r="K779" s="290"/>
      <c r="L779" s="47">
        <v>33</v>
      </c>
      <c r="M779" s="262">
        <v>592</v>
      </c>
      <c r="N779" s="47">
        <v>100</v>
      </c>
      <c r="O779" s="291">
        <v>494.84000000000003</v>
      </c>
      <c r="P779" s="291"/>
      <c r="Q779" s="291"/>
      <c r="R779" s="262">
        <v>17.940000000000001</v>
      </c>
      <c r="S779" s="262">
        <v>512.78</v>
      </c>
      <c r="U779" s="149">
        <f t="shared" si="76"/>
        <v>44734</v>
      </c>
      <c r="V779" s="146">
        <f t="shared" si="77"/>
        <v>28.5</v>
      </c>
      <c r="W779" s="150">
        <f t="shared" si="78"/>
        <v>4.5</v>
      </c>
      <c r="X779" s="146">
        <f t="shared" si="79"/>
        <v>4.5</v>
      </c>
    </row>
    <row r="780" spans="1:24" ht="9.75" customHeight="1" x14ac:dyDescent="0.25">
      <c r="A780" s="288">
        <v>74</v>
      </c>
      <c r="B780" s="288"/>
      <c r="D780" s="258" t="s">
        <v>68</v>
      </c>
      <c r="E780" s="289">
        <v>32781</v>
      </c>
      <c r="F780" s="289"/>
      <c r="G780" s="289"/>
      <c r="H780" s="289"/>
      <c r="I780" s="290" t="s">
        <v>205</v>
      </c>
      <c r="J780" s="290"/>
      <c r="K780" s="290"/>
      <c r="L780" s="47">
        <v>33</v>
      </c>
      <c r="M780" s="262">
        <v>6216</v>
      </c>
      <c r="N780" s="47">
        <v>100</v>
      </c>
      <c r="O780" s="291">
        <v>5148.51</v>
      </c>
      <c r="P780" s="291"/>
      <c r="Q780" s="291"/>
      <c r="R780" s="262">
        <v>188.36</v>
      </c>
      <c r="S780" s="262">
        <v>5336.87</v>
      </c>
      <c r="U780" s="149">
        <f t="shared" si="76"/>
        <v>44826</v>
      </c>
      <c r="V780" s="146">
        <f t="shared" si="77"/>
        <v>28.25</v>
      </c>
      <c r="W780" s="150">
        <f t="shared" si="78"/>
        <v>4.75</v>
      </c>
      <c r="X780" s="146">
        <f t="shared" si="79"/>
        <v>4.75</v>
      </c>
    </row>
    <row r="781" spans="1:24" ht="9.75" customHeight="1" x14ac:dyDescent="0.25">
      <c r="A781" s="288">
        <v>92</v>
      </c>
      <c r="B781" s="288"/>
      <c r="D781" s="258" t="s">
        <v>68</v>
      </c>
      <c r="E781" s="289">
        <v>31959</v>
      </c>
      <c r="F781" s="289"/>
      <c r="G781" s="289"/>
      <c r="H781" s="289"/>
      <c r="I781" s="290" t="s">
        <v>205</v>
      </c>
      <c r="J781" s="290"/>
      <c r="K781" s="290"/>
      <c r="L781" s="47">
        <v>33</v>
      </c>
      <c r="M781" s="262">
        <v>8450</v>
      </c>
      <c r="N781" s="47">
        <v>100</v>
      </c>
      <c r="O781" s="291">
        <v>7553.77</v>
      </c>
      <c r="P781" s="291"/>
      <c r="Q781" s="291"/>
      <c r="R781" s="262">
        <v>256.06</v>
      </c>
      <c r="S781" s="262">
        <v>7809.83</v>
      </c>
      <c r="U781" s="149">
        <f t="shared" si="76"/>
        <v>44004</v>
      </c>
      <c r="V781" s="146">
        <f t="shared" si="77"/>
        <v>30.5</v>
      </c>
      <c r="W781" s="150">
        <f t="shared" si="78"/>
        <v>2.5</v>
      </c>
      <c r="X781" s="146">
        <f t="shared" si="79"/>
        <v>2.5</v>
      </c>
    </row>
    <row r="782" spans="1:24" ht="9.75" customHeight="1" x14ac:dyDescent="0.25">
      <c r="A782" s="288">
        <v>98</v>
      </c>
      <c r="B782" s="288"/>
      <c r="D782" s="258" t="s">
        <v>68</v>
      </c>
      <c r="E782" s="289">
        <v>32508</v>
      </c>
      <c r="F782" s="289"/>
      <c r="G782" s="289"/>
      <c r="H782" s="289"/>
      <c r="I782" s="290" t="s">
        <v>205</v>
      </c>
      <c r="J782" s="290"/>
      <c r="K782" s="290"/>
      <c r="L782" s="47">
        <v>33</v>
      </c>
      <c r="M782" s="262">
        <v>25719</v>
      </c>
      <c r="N782" s="47">
        <v>100</v>
      </c>
      <c r="O782" s="291">
        <v>21887.03</v>
      </c>
      <c r="P782" s="291"/>
      <c r="Q782" s="291"/>
      <c r="R782" s="262">
        <v>779.36</v>
      </c>
      <c r="S782" s="262">
        <v>22666.39</v>
      </c>
      <c r="U782" s="149">
        <f t="shared" si="76"/>
        <v>44553</v>
      </c>
      <c r="V782" s="146">
        <f t="shared" si="77"/>
        <v>29</v>
      </c>
      <c r="W782" s="150">
        <f t="shared" si="78"/>
        <v>4</v>
      </c>
      <c r="X782" s="146">
        <f t="shared" si="79"/>
        <v>4</v>
      </c>
    </row>
    <row r="783" spans="1:24" ht="9.75" customHeight="1" x14ac:dyDescent="0.25">
      <c r="A783" s="288">
        <v>107</v>
      </c>
      <c r="B783" s="288"/>
      <c r="D783" s="258" t="s">
        <v>68</v>
      </c>
      <c r="E783" s="289">
        <v>32963</v>
      </c>
      <c r="F783" s="289"/>
      <c r="G783" s="289"/>
      <c r="H783" s="289"/>
      <c r="I783" s="290" t="s">
        <v>205</v>
      </c>
      <c r="J783" s="290"/>
      <c r="K783" s="290"/>
      <c r="L783" s="47">
        <v>33</v>
      </c>
      <c r="M783" s="262">
        <v>600</v>
      </c>
      <c r="N783" s="47">
        <v>100</v>
      </c>
      <c r="O783" s="291">
        <v>487.83</v>
      </c>
      <c r="P783" s="291"/>
      <c r="Q783" s="291"/>
      <c r="R783" s="262">
        <v>18.18</v>
      </c>
      <c r="S783" s="262">
        <v>506.01</v>
      </c>
      <c r="U783" s="149">
        <f t="shared" si="76"/>
        <v>45008</v>
      </c>
      <c r="V783" s="146">
        <f t="shared" si="77"/>
        <v>27.75</v>
      </c>
      <c r="W783" s="150">
        <f t="shared" si="78"/>
        <v>5.25</v>
      </c>
      <c r="X783" s="146">
        <f t="shared" si="79"/>
        <v>5.25</v>
      </c>
    </row>
    <row r="784" spans="1:24" ht="9.75" customHeight="1" x14ac:dyDescent="0.25">
      <c r="A784" s="288">
        <v>108</v>
      </c>
      <c r="B784" s="288"/>
      <c r="D784" s="258" t="s">
        <v>68</v>
      </c>
      <c r="E784" s="289">
        <v>33054</v>
      </c>
      <c r="F784" s="289"/>
      <c r="G784" s="289"/>
      <c r="H784" s="289"/>
      <c r="I784" s="290" t="s">
        <v>205</v>
      </c>
      <c r="J784" s="290"/>
      <c r="K784" s="290"/>
      <c r="L784" s="47">
        <v>33</v>
      </c>
      <c r="M784" s="262">
        <v>4350</v>
      </c>
      <c r="N784" s="47">
        <v>100</v>
      </c>
      <c r="O784" s="291">
        <v>3504.21</v>
      </c>
      <c r="P784" s="291"/>
      <c r="Q784" s="291"/>
      <c r="R784" s="262">
        <v>131.82</v>
      </c>
      <c r="S784" s="262">
        <v>3636.03</v>
      </c>
      <c r="U784" s="149">
        <f t="shared" si="76"/>
        <v>45099</v>
      </c>
      <c r="V784" s="146">
        <f t="shared" si="77"/>
        <v>27.5</v>
      </c>
      <c r="W784" s="150">
        <f t="shared" si="78"/>
        <v>5.5</v>
      </c>
      <c r="X784" s="146">
        <f t="shared" si="79"/>
        <v>5.5</v>
      </c>
    </row>
    <row r="785" spans="1:24" ht="9.75" customHeight="1" x14ac:dyDescent="0.25">
      <c r="A785" s="288">
        <v>109</v>
      </c>
      <c r="B785" s="288"/>
      <c r="D785" s="258" t="s">
        <v>68</v>
      </c>
      <c r="E785" s="289">
        <v>33146</v>
      </c>
      <c r="F785" s="289"/>
      <c r="G785" s="289"/>
      <c r="H785" s="289"/>
      <c r="I785" s="290" t="s">
        <v>205</v>
      </c>
      <c r="J785" s="290"/>
      <c r="K785" s="290"/>
      <c r="L785" s="47">
        <v>33</v>
      </c>
      <c r="M785" s="262">
        <v>3145</v>
      </c>
      <c r="N785" s="47">
        <v>100</v>
      </c>
      <c r="O785" s="291">
        <v>2509.5700000000002</v>
      </c>
      <c r="P785" s="291"/>
      <c r="Q785" s="291"/>
      <c r="R785" s="262">
        <v>95.3</v>
      </c>
      <c r="S785" s="262">
        <v>2604.87</v>
      </c>
      <c r="U785" s="149">
        <f t="shared" si="76"/>
        <v>45191</v>
      </c>
      <c r="V785" s="146">
        <f t="shared" si="77"/>
        <v>27.25</v>
      </c>
      <c r="W785" s="150">
        <f t="shared" si="78"/>
        <v>5.75</v>
      </c>
      <c r="X785" s="146">
        <f t="shared" si="79"/>
        <v>5.75</v>
      </c>
    </row>
    <row r="786" spans="1:24" ht="9.75" customHeight="1" x14ac:dyDescent="0.25">
      <c r="A786" s="288">
        <v>110</v>
      </c>
      <c r="B786" s="288"/>
      <c r="D786" s="258" t="s">
        <v>68</v>
      </c>
      <c r="E786" s="289">
        <v>33238</v>
      </c>
      <c r="F786" s="289"/>
      <c r="G786" s="289"/>
      <c r="H786" s="289"/>
      <c r="I786" s="290" t="s">
        <v>205</v>
      </c>
      <c r="J786" s="290"/>
      <c r="K786" s="290"/>
      <c r="L786" s="47">
        <v>33</v>
      </c>
      <c r="M786" s="262">
        <v>18457</v>
      </c>
      <c r="N786" s="47">
        <v>100</v>
      </c>
      <c r="O786" s="291">
        <v>14588.41</v>
      </c>
      <c r="P786" s="291"/>
      <c r="Q786" s="291"/>
      <c r="R786" s="262">
        <v>559.29999999999995</v>
      </c>
      <c r="S786" s="262">
        <v>15147.710000000001</v>
      </c>
      <c r="U786" s="149">
        <f t="shared" si="76"/>
        <v>45283</v>
      </c>
      <c r="V786" s="146">
        <f t="shared" si="77"/>
        <v>27</v>
      </c>
      <c r="W786" s="150">
        <f t="shared" si="78"/>
        <v>6</v>
      </c>
      <c r="X786" s="146">
        <f t="shared" si="79"/>
        <v>6</v>
      </c>
    </row>
    <row r="787" spans="1:24" ht="9.75" customHeight="1" x14ac:dyDescent="0.25">
      <c r="A787" s="288">
        <v>121</v>
      </c>
      <c r="B787" s="288"/>
      <c r="D787" s="258" t="s">
        <v>68</v>
      </c>
      <c r="E787" s="289">
        <v>33328</v>
      </c>
      <c r="F787" s="289"/>
      <c r="G787" s="289"/>
      <c r="H787" s="289"/>
      <c r="I787" s="290" t="s">
        <v>205</v>
      </c>
      <c r="J787" s="290"/>
      <c r="K787" s="290"/>
      <c r="L787" s="47">
        <v>33</v>
      </c>
      <c r="M787" s="262">
        <v>2440</v>
      </c>
      <c r="N787" s="47">
        <v>100</v>
      </c>
      <c r="O787" s="291">
        <v>1910.1200000000001</v>
      </c>
      <c r="P787" s="291"/>
      <c r="Q787" s="291"/>
      <c r="R787" s="262">
        <v>73.94</v>
      </c>
      <c r="S787" s="262">
        <v>1984.06</v>
      </c>
      <c r="U787" s="149">
        <f t="shared" si="76"/>
        <v>45373</v>
      </c>
      <c r="V787" s="146">
        <f t="shared" si="77"/>
        <v>26.75</v>
      </c>
      <c r="W787" s="150">
        <f t="shared" si="78"/>
        <v>6.25</v>
      </c>
      <c r="X787" s="146">
        <f t="shared" si="79"/>
        <v>6.25</v>
      </c>
    </row>
    <row r="788" spans="1:24" ht="9.75" customHeight="1" x14ac:dyDescent="0.25">
      <c r="A788" s="288">
        <v>122</v>
      </c>
      <c r="B788" s="288"/>
      <c r="D788" s="258" t="s">
        <v>68</v>
      </c>
      <c r="E788" s="289">
        <v>33419</v>
      </c>
      <c r="F788" s="289"/>
      <c r="G788" s="289"/>
      <c r="H788" s="289"/>
      <c r="I788" s="290" t="s">
        <v>205</v>
      </c>
      <c r="J788" s="290"/>
      <c r="K788" s="290"/>
      <c r="L788" s="47">
        <v>33</v>
      </c>
      <c r="M788" s="262">
        <v>53199</v>
      </c>
      <c r="N788" s="47">
        <v>100</v>
      </c>
      <c r="O788" s="291">
        <v>41242.639999999999</v>
      </c>
      <c r="P788" s="291"/>
      <c r="Q788" s="291"/>
      <c r="R788" s="262">
        <v>1612.0900000000001</v>
      </c>
      <c r="S788" s="262">
        <v>42854.73</v>
      </c>
      <c r="U788" s="149">
        <f t="shared" si="76"/>
        <v>45464</v>
      </c>
      <c r="V788" s="146">
        <f t="shared" si="77"/>
        <v>26.5</v>
      </c>
      <c r="W788" s="150">
        <f t="shared" si="78"/>
        <v>6.5</v>
      </c>
      <c r="X788" s="146">
        <f t="shared" si="79"/>
        <v>6.5</v>
      </c>
    </row>
    <row r="789" spans="1:24" ht="9.75" customHeight="1" x14ac:dyDescent="0.25">
      <c r="A789" s="288">
        <v>123</v>
      </c>
      <c r="B789" s="288"/>
      <c r="D789" s="258" t="s">
        <v>68</v>
      </c>
      <c r="E789" s="289">
        <v>33511</v>
      </c>
      <c r="F789" s="289"/>
      <c r="G789" s="289"/>
      <c r="H789" s="289"/>
      <c r="I789" s="290" t="s">
        <v>205</v>
      </c>
      <c r="J789" s="290"/>
      <c r="K789" s="290"/>
      <c r="L789" s="47">
        <v>33</v>
      </c>
      <c r="M789" s="262">
        <v>231</v>
      </c>
      <c r="N789" s="47">
        <v>100</v>
      </c>
      <c r="O789" s="291">
        <v>177.33</v>
      </c>
      <c r="P789" s="291"/>
      <c r="Q789" s="291"/>
      <c r="R789" s="262">
        <v>7</v>
      </c>
      <c r="S789" s="262">
        <v>184.33</v>
      </c>
      <c r="U789" s="149">
        <f t="shared" si="76"/>
        <v>45556</v>
      </c>
      <c r="V789" s="146">
        <f t="shared" si="77"/>
        <v>26.25</v>
      </c>
      <c r="W789" s="150">
        <f t="shared" si="78"/>
        <v>6.75</v>
      </c>
      <c r="X789" s="146">
        <f t="shared" si="79"/>
        <v>6.75</v>
      </c>
    </row>
    <row r="790" spans="1:24" ht="9.75" customHeight="1" x14ac:dyDescent="0.25">
      <c r="A790" s="288">
        <v>133</v>
      </c>
      <c r="B790" s="288"/>
      <c r="D790" s="258" t="s">
        <v>68</v>
      </c>
      <c r="E790" s="289">
        <v>33603</v>
      </c>
      <c r="F790" s="289"/>
      <c r="G790" s="289"/>
      <c r="H790" s="289"/>
      <c r="I790" s="290" t="s">
        <v>205</v>
      </c>
      <c r="J790" s="290"/>
      <c r="K790" s="290"/>
      <c r="L790" s="47">
        <v>33</v>
      </c>
      <c r="M790" s="262">
        <v>13151</v>
      </c>
      <c r="N790" s="47">
        <v>100</v>
      </c>
      <c r="O790" s="291">
        <v>9996.2099999999991</v>
      </c>
      <c r="P790" s="291"/>
      <c r="Q790" s="291"/>
      <c r="R790" s="262">
        <v>398.52</v>
      </c>
      <c r="S790" s="262">
        <v>10394.73</v>
      </c>
      <c r="U790" s="149">
        <f t="shared" si="76"/>
        <v>45648</v>
      </c>
      <c r="V790" s="146">
        <f t="shared" si="77"/>
        <v>26</v>
      </c>
      <c r="W790" s="150">
        <f t="shared" si="78"/>
        <v>7</v>
      </c>
      <c r="X790" s="146">
        <f t="shared" si="79"/>
        <v>7</v>
      </c>
    </row>
    <row r="791" spans="1:24" ht="9.75" customHeight="1" x14ac:dyDescent="0.25">
      <c r="A791" s="288">
        <v>143</v>
      </c>
      <c r="B791" s="288"/>
      <c r="D791" s="258" t="s">
        <v>367</v>
      </c>
      <c r="E791" s="289">
        <v>33635</v>
      </c>
      <c r="F791" s="289"/>
      <c r="G791" s="289"/>
      <c r="H791" s="289"/>
      <c r="I791" s="290" t="s">
        <v>205</v>
      </c>
      <c r="J791" s="290"/>
      <c r="K791" s="290"/>
      <c r="L791" s="47">
        <v>33</v>
      </c>
      <c r="M791" s="262">
        <v>3127</v>
      </c>
      <c r="N791" s="47">
        <v>100</v>
      </c>
      <c r="O791" s="291">
        <v>2361.1</v>
      </c>
      <c r="P791" s="291"/>
      <c r="Q791" s="291"/>
      <c r="R791" s="262">
        <v>94.76</v>
      </c>
      <c r="S791" s="262">
        <v>2455.86</v>
      </c>
      <c r="U791" s="149">
        <f t="shared" si="76"/>
        <v>45680</v>
      </c>
      <c r="V791" s="146">
        <f t="shared" si="77"/>
        <v>25.916666666666668</v>
      </c>
      <c r="W791" s="150">
        <f t="shared" si="78"/>
        <v>7.0833333333333321</v>
      </c>
      <c r="X791" s="146">
        <f t="shared" si="79"/>
        <v>7.0833333333333321</v>
      </c>
    </row>
    <row r="792" spans="1:24" ht="9.75" customHeight="1" x14ac:dyDescent="0.25">
      <c r="A792" s="288">
        <v>144</v>
      </c>
      <c r="B792" s="288"/>
      <c r="D792" s="258" t="s">
        <v>368</v>
      </c>
      <c r="E792" s="289">
        <v>33725</v>
      </c>
      <c r="F792" s="289"/>
      <c r="G792" s="289"/>
      <c r="H792" s="289"/>
      <c r="I792" s="290" t="s">
        <v>205</v>
      </c>
      <c r="J792" s="290"/>
      <c r="K792" s="290"/>
      <c r="L792" s="47">
        <v>33</v>
      </c>
      <c r="M792" s="262">
        <v>1830</v>
      </c>
      <c r="N792" s="47">
        <v>100</v>
      </c>
      <c r="O792" s="291">
        <v>1367.77</v>
      </c>
      <c r="P792" s="291"/>
      <c r="Q792" s="291"/>
      <c r="R792" s="262">
        <v>55.45</v>
      </c>
      <c r="S792" s="262">
        <v>1423.22</v>
      </c>
      <c r="U792" s="149">
        <f t="shared" si="76"/>
        <v>45770</v>
      </c>
      <c r="V792" s="146">
        <f t="shared" si="77"/>
        <v>25.666666666666668</v>
      </c>
      <c r="W792" s="150">
        <f t="shared" si="78"/>
        <v>7.3333333333333321</v>
      </c>
      <c r="X792" s="146">
        <f t="shared" si="79"/>
        <v>7.3333333333333321</v>
      </c>
    </row>
    <row r="793" spans="1:24" ht="9.75" customHeight="1" x14ac:dyDescent="0.25">
      <c r="A793" s="288">
        <v>145</v>
      </c>
      <c r="B793" s="288"/>
      <c r="D793" s="258" t="s">
        <v>369</v>
      </c>
      <c r="E793" s="289">
        <v>33817</v>
      </c>
      <c r="F793" s="289"/>
      <c r="G793" s="289"/>
      <c r="H793" s="289"/>
      <c r="I793" s="290" t="s">
        <v>205</v>
      </c>
      <c r="J793" s="290"/>
      <c r="K793" s="290"/>
      <c r="L793" s="47">
        <v>33</v>
      </c>
      <c r="M793" s="262">
        <v>2761</v>
      </c>
      <c r="N793" s="47">
        <v>100</v>
      </c>
      <c r="O793" s="291">
        <v>2042.94</v>
      </c>
      <c r="P793" s="291"/>
      <c r="Q793" s="291"/>
      <c r="R793" s="262">
        <v>83.67</v>
      </c>
      <c r="S793" s="262">
        <v>2126.61</v>
      </c>
      <c r="U793" s="149">
        <f t="shared" si="76"/>
        <v>45862</v>
      </c>
      <c r="V793" s="146">
        <f t="shared" si="77"/>
        <v>25.416666666666668</v>
      </c>
      <c r="W793" s="150">
        <f t="shared" si="78"/>
        <v>7.5833333333333321</v>
      </c>
      <c r="X793" s="146">
        <f t="shared" si="79"/>
        <v>7.5833333333333321</v>
      </c>
    </row>
    <row r="794" spans="1:24" ht="9.75" customHeight="1" x14ac:dyDescent="0.25">
      <c r="A794" s="288">
        <v>146</v>
      </c>
      <c r="B794" s="288"/>
      <c r="D794" s="258" t="s">
        <v>370</v>
      </c>
      <c r="E794" s="289">
        <v>33878</v>
      </c>
      <c r="F794" s="289"/>
      <c r="G794" s="289"/>
      <c r="H794" s="289"/>
      <c r="I794" s="290" t="s">
        <v>205</v>
      </c>
      <c r="J794" s="290"/>
      <c r="K794" s="290"/>
      <c r="L794" s="47">
        <v>33</v>
      </c>
      <c r="M794" s="262">
        <v>1654</v>
      </c>
      <c r="N794" s="47">
        <v>100</v>
      </c>
      <c r="O794" s="291">
        <v>1215.4100000000001</v>
      </c>
      <c r="P794" s="291"/>
      <c r="Q794" s="291"/>
      <c r="R794" s="262">
        <v>50.120000000000005</v>
      </c>
      <c r="S794" s="262">
        <v>1265.53</v>
      </c>
      <c r="U794" s="149">
        <f t="shared" si="76"/>
        <v>45923</v>
      </c>
      <c r="V794" s="146">
        <f t="shared" si="77"/>
        <v>25.25</v>
      </c>
      <c r="W794" s="150">
        <f t="shared" si="78"/>
        <v>7.75</v>
      </c>
      <c r="X794" s="146">
        <f t="shared" si="79"/>
        <v>7.75</v>
      </c>
    </row>
    <row r="795" spans="1:24" ht="9.75" customHeight="1" x14ac:dyDescent="0.25">
      <c r="A795" s="288">
        <v>159</v>
      </c>
      <c r="B795" s="288"/>
      <c r="D795" s="258" t="s">
        <v>370</v>
      </c>
      <c r="E795" s="289">
        <v>33939</v>
      </c>
      <c r="F795" s="289"/>
      <c r="G795" s="289"/>
      <c r="H795" s="289"/>
      <c r="I795" s="290" t="s">
        <v>205</v>
      </c>
      <c r="J795" s="290"/>
      <c r="K795" s="290"/>
      <c r="L795" s="47">
        <v>33</v>
      </c>
      <c r="M795" s="262">
        <v>11573</v>
      </c>
      <c r="N795" s="47">
        <v>100</v>
      </c>
      <c r="O795" s="291">
        <v>8446.02</v>
      </c>
      <c r="P795" s="291"/>
      <c r="Q795" s="291"/>
      <c r="R795" s="262">
        <v>350.7</v>
      </c>
      <c r="S795" s="262">
        <v>8796.7199999999993</v>
      </c>
      <c r="U795" s="149">
        <f t="shared" si="76"/>
        <v>45984</v>
      </c>
      <c r="V795" s="146">
        <f t="shared" si="77"/>
        <v>25.083333333333332</v>
      </c>
      <c r="W795" s="150">
        <f t="shared" si="78"/>
        <v>7.9166666666666679</v>
      </c>
      <c r="X795" s="146">
        <f t="shared" si="79"/>
        <v>7.9166666666666679</v>
      </c>
    </row>
    <row r="796" spans="1:24" ht="9.75" customHeight="1" x14ac:dyDescent="0.25">
      <c r="A796" s="288">
        <v>163</v>
      </c>
      <c r="B796" s="288"/>
      <c r="D796" s="258" t="s">
        <v>371</v>
      </c>
      <c r="E796" s="289">
        <v>34029</v>
      </c>
      <c r="F796" s="289"/>
      <c r="G796" s="289"/>
      <c r="H796" s="289"/>
      <c r="I796" s="290" t="s">
        <v>205</v>
      </c>
      <c r="J796" s="290"/>
      <c r="K796" s="290"/>
      <c r="L796" s="47">
        <v>33</v>
      </c>
      <c r="M796" s="262">
        <v>490</v>
      </c>
      <c r="N796" s="47">
        <v>100</v>
      </c>
      <c r="O796" s="291">
        <v>353.92</v>
      </c>
      <c r="P796" s="291"/>
      <c r="Q796" s="291"/>
      <c r="R796" s="262">
        <v>14.85</v>
      </c>
      <c r="S796" s="262">
        <v>368.77</v>
      </c>
      <c r="U796" s="149">
        <f t="shared" si="76"/>
        <v>46074</v>
      </c>
      <c r="V796" s="146">
        <f t="shared" si="77"/>
        <v>24.833333333333332</v>
      </c>
      <c r="W796" s="150">
        <f t="shared" si="78"/>
        <v>8.1666666666666679</v>
      </c>
      <c r="X796" s="146">
        <f t="shared" si="79"/>
        <v>8.1666666666666679</v>
      </c>
    </row>
    <row r="797" spans="1:24" ht="9.75" customHeight="1" x14ac:dyDescent="0.25">
      <c r="A797" s="288">
        <v>167</v>
      </c>
      <c r="B797" s="288"/>
      <c r="D797" s="258" t="s">
        <v>372</v>
      </c>
      <c r="E797" s="289">
        <v>34121</v>
      </c>
      <c r="F797" s="289"/>
      <c r="G797" s="289"/>
      <c r="H797" s="289"/>
      <c r="I797" s="290" t="s">
        <v>205</v>
      </c>
      <c r="J797" s="290"/>
      <c r="K797" s="290"/>
      <c r="L797" s="47">
        <v>33</v>
      </c>
      <c r="M797" s="262">
        <v>413</v>
      </c>
      <c r="N797" s="47">
        <v>100</v>
      </c>
      <c r="O797" s="291">
        <v>295.26</v>
      </c>
      <c r="P797" s="291"/>
      <c r="Q797" s="291"/>
      <c r="R797" s="262">
        <v>12.52</v>
      </c>
      <c r="S797" s="262">
        <v>307.77999999999997</v>
      </c>
      <c r="U797" s="149">
        <f t="shared" si="76"/>
        <v>46166</v>
      </c>
      <c r="V797" s="146">
        <f t="shared" si="77"/>
        <v>24.583333333333332</v>
      </c>
      <c r="W797" s="150">
        <f t="shared" si="78"/>
        <v>8.4166666666666679</v>
      </c>
      <c r="X797" s="146">
        <f t="shared" si="79"/>
        <v>8.4166666666666679</v>
      </c>
    </row>
    <row r="798" spans="1:24" ht="9.75" customHeight="1" x14ac:dyDescent="0.25">
      <c r="A798" s="288">
        <v>171</v>
      </c>
      <c r="B798" s="288"/>
      <c r="D798" s="258" t="s">
        <v>373</v>
      </c>
      <c r="E798" s="289">
        <v>34213</v>
      </c>
      <c r="F798" s="289"/>
      <c r="G798" s="289"/>
      <c r="H798" s="289"/>
      <c r="I798" s="290" t="s">
        <v>205</v>
      </c>
      <c r="J798" s="290"/>
      <c r="K798" s="290"/>
      <c r="L798" s="47">
        <v>33</v>
      </c>
      <c r="M798" s="262">
        <v>4806</v>
      </c>
      <c r="N798" s="47">
        <v>100</v>
      </c>
      <c r="O798" s="291">
        <v>3398.27</v>
      </c>
      <c r="P798" s="291"/>
      <c r="Q798" s="291"/>
      <c r="R798" s="262">
        <v>145.63999999999999</v>
      </c>
      <c r="S798" s="262">
        <v>3543.91</v>
      </c>
      <c r="U798" s="149">
        <f t="shared" si="76"/>
        <v>46258</v>
      </c>
      <c r="V798" s="146">
        <f t="shared" si="77"/>
        <v>24.333333333333332</v>
      </c>
      <c r="W798" s="150">
        <f t="shared" si="78"/>
        <v>8.6666666666666679</v>
      </c>
      <c r="X798" s="146">
        <f t="shared" si="79"/>
        <v>8.6666666666666679</v>
      </c>
    </row>
    <row r="799" spans="1:24" ht="9.75" customHeight="1" x14ac:dyDescent="0.25">
      <c r="A799" s="288">
        <v>172</v>
      </c>
      <c r="B799" s="288"/>
      <c r="D799" s="258" t="s">
        <v>374</v>
      </c>
      <c r="E799" s="289">
        <v>34304</v>
      </c>
      <c r="F799" s="289"/>
      <c r="G799" s="289"/>
      <c r="H799" s="289"/>
      <c r="I799" s="290" t="s">
        <v>205</v>
      </c>
      <c r="J799" s="290"/>
      <c r="K799" s="290"/>
      <c r="L799" s="47">
        <v>33</v>
      </c>
      <c r="M799" s="262">
        <v>12711</v>
      </c>
      <c r="N799" s="47">
        <v>100</v>
      </c>
      <c r="O799" s="291">
        <v>8891.24</v>
      </c>
      <c r="P799" s="291"/>
      <c r="Q799" s="291"/>
      <c r="R799" s="262">
        <v>385.18</v>
      </c>
      <c r="S799" s="262">
        <v>9276.42</v>
      </c>
      <c r="U799" s="149">
        <f t="shared" si="76"/>
        <v>46349</v>
      </c>
      <c r="V799" s="146">
        <f t="shared" si="77"/>
        <v>24.083333333333332</v>
      </c>
      <c r="W799" s="150">
        <f t="shared" si="78"/>
        <v>8.9166666666666679</v>
      </c>
      <c r="X799" s="146">
        <f t="shared" si="79"/>
        <v>8.9166666666666679</v>
      </c>
    </row>
    <row r="800" spans="1:24" ht="9.75" customHeight="1" x14ac:dyDescent="0.25">
      <c r="A800" s="288">
        <v>182</v>
      </c>
      <c r="B800" s="288"/>
      <c r="D800" s="258" t="s">
        <v>375</v>
      </c>
      <c r="E800" s="289">
        <v>34335</v>
      </c>
      <c r="F800" s="289"/>
      <c r="G800" s="289"/>
      <c r="H800" s="289"/>
      <c r="I800" s="290" t="s">
        <v>205</v>
      </c>
      <c r="J800" s="290"/>
      <c r="K800" s="290"/>
      <c r="L800" s="47">
        <v>33</v>
      </c>
      <c r="M800" s="262">
        <v>6106</v>
      </c>
      <c r="N800" s="47">
        <v>100</v>
      </c>
      <c r="O800" s="291">
        <v>4255.6899999999996</v>
      </c>
      <c r="P800" s="291"/>
      <c r="Q800" s="291"/>
      <c r="R800" s="262">
        <v>185.03</v>
      </c>
      <c r="S800" s="262">
        <v>4440.72</v>
      </c>
      <c r="U800" s="149">
        <f t="shared" si="76"/>
        <v>46380</v>
      </c>
      <c r="V800" s="146">
        <f t="shared" si="77"/>
        <v>24</v>
      </c>
      <c r="W800" s="150">
        <f t="shared" si="78"/>
        <v>9</v>
      </c>
      <c r="X800" s="146">
        <f t="shared" si="79"/>
        <v>9</v>
      </c>
    </row>
    <row r="801" spans="1:24" ht="9.75" customHeight="1" x14ac:dyDescent="0.25">
      <c r="A801" s="288">
        <v>183</v>
      </c>
      <c r="B801" s="288"/>
      <c r="D801" s="258" t="s">
        <v>376</v>
      </c>
      <c r="E801" s="289">
        <v>34425</v>
      </c>
      <c r="F801" s="289"/>
      <c r="G801" s="289"/>
      <c r="H801" s="289"/>
      <c r="I801" s="290" t="s">
        <v>205</v>
      </c>
      <c r="J801" s="290"/>
      <c r="K801" s="290"/>
      <c r="L801" s="47">
        <v>33</v>
      </c>
      <c r="M801" s="262">
        <v>2730</v>
      </c>
      <c r="N801" s="47">
        <v>100</v>
      </c>
      <c r="O801" s="291">
        <v>1882.1100000000001</v>
      </c>
      <c r="P801" s="291"/>
      <c r="Q801" s="291"/>
      <c r="R801" s="262">
        <v>82.73</v>
      </c>
      <c r="S801" s="262">
        <v>1964.8400000000001</v>
      </c>
      <c r="U801" s="149">
        <f t="shared" si="76"/>
        <v>46470</v>
      </c>
      <c r="V801" s="146">
        <f t="shared" si="77"/>
        <v>23.75</v>
      </c>
      <c r="W801" s="150">
        <f t="shared" si="78"/>
        <v>9.25</v>
      </c>
      <c r="X801" s="146">
        <f t="shared" si="79"/>
        <v>9.25</v>
      </c>
    </row>
    <row r="802" spans="1:24" ht="9.75" customHeight="1" x14ac:dyDescent="0.25">
      <c r="A802" s="288">
        <v>184</v>
      </c>
      <c r="B802" s="288"/>
      <c r="D802" s="258" t="s">
        <v>377</v>
      </c>
      <c r="E802" s="289">
        <v>34516</v>
      </c>
      <c r="F802" s="289"/>
      <c r="G802" s="289"/>
      <c r="H802" s="289"/>
      <c r="I802" s="290" t="s">
        <v>205</v>
      </c>
      <c r="J802" s="290"/>
      <c r="K802" s="290"/>
      <c r="L802" s="47">
        <v>33</v>
      </c>
      <c r="M802" s="262">
        <v>5059</v>
      </c>
      <c r="N802" s="47">
        <v>100</v>
      </c>
      <c r="O802" s="291">
        <v>3449.25</v>
      </c>
      <c r="P802" s="291"/>
      <c r="Q802" s="291"/>
      <c r="R802" s="262">
        <v>153.30000000000001</v>
      </c>
      <c r="S802" s="262">
        <v>3602.55</v>
      </c>
      <c r="U802" s="149">
        <f t="shared" si="76"/>
        <v>46561</v>
      </c>
      <c r="V802" s="146">
        <f t="shared" si="77"/>
        <v>23.5</v>
      </c>
      <c r="W802" s="150">
        <f t="shared" si="78"/>
        <v>9.5</v>
      </c>
      <c r="X802" s="146">
        <f t="shared" si="79"/>
        <v>9.5</v>
      </c>
    </row>
    <row r="803" spans="1:24" ht="9.75" customHeight="1" x14ac:dyDescent="0.25">
      <c r="A803" s="288">
        <v>185</v>
      </c>
      <c r="B803" s="288"/>
      <c r="D803" s="258" t="s">
        <v>378</v>
      </c>
      <c r="E803" s="289">
        <v>34608</v>
      </c>
      <c r="F803" s="289"/>
      <c r="G803" s="289"/>
      <c r="H803" s="289"/>
      <c r="I803" s="290" t="s">
        <v>205</v>
      </c>
      <c r="J803" s="290"/>
      <c r="K803" s="290"/>
      <c r="L803" s="47">
        <v>33</v>
      </c>
      <c r="M803" s="262">
        <v>28898</v>
      </c>
      <c r="N803" s="47">
        <v>100</v>
      </c>
      <c r="O803" s="291">
        <v>19484.32</v>
      </c>
      <c r="P803" s="291"/>
      <c r="Q803" s="291"/>
      <c r="R803" s="262">
        <v>875.7</v>
      </c>
      <c r="S803" s="262">
        <v>20360.02</v>
      </c>
      <c r="U803" s="149">
        <f t="shared" si="76"/>
        <v>46653</v>
      </c>
      <c r="V803" s="146">
        <f t="shared" si="77"/>
        <v>23.25</v>
      </c>
      <c r="W803" s="150">
        <f t="shared" si="78"/>
        <v>9.75</v>
      </c>
      <c r="X803" s="146">
        <f t="shared" si="79"/>
        <v>9.75</v>
      </c>
    </row>
    <row r="804" spans="1:24" ht="9.75" customHeight="1" x14ac:dyDescent="0.25">
      <c r="A804" s="288">
        <v>201</v>
      </c>
      <c r="B804" s="288"/>
      <c r="D804" s="258" t="s">
        <v>379</v>
      </c>
      <c r="E804" s="289">
        <v>34700</v>
      </c>
      <c r="F804" s="289"/>
      <c r="G804" s="289"/>
      <c r="H804" s="289"/>
      <c r="I804" s="290" t="s">
        <v>205</v>
      </c>
      <c r="J804" s="290"/>
      <c r="K804" s="290"/>
      <c r="L804" s="47">
        <v>33</v>
      </c>
      <c r="M804" s="262">
        <v>20828</v>
      </c>
      <c r="N804" s="47">
        <v>100</v>
      </c>
      <c r="O804" s="291">
        <v>13885.300000000001</v>
      </c>
      <c r="P804" s="291"/>
      <c r="Q804" s="291"/>
      <c r="R804" s="262">
        <v>631.15</v>
      </c>
      <c r="S804" s="262">
        <v>14516.45</v>
      </c>
      <c r="U804" s="149">
        <f t="shared" si="76"/>
        <v>46745</v>
      </c>
      <c r="V804" s="146">
        <f t="shared" si="77"/>
        <v>23</v>
      </c>
      <c r="W804" s="150">
        <f t="shared" si="78"/>
        <v>10</v>
      </c>
      <c r="X804" s="146">
        <f t="shared" ref="X804:X822" si="80">IF(W804=0,0,W804)</f>
        <v>10</v>
      </c>
    </row>
    <row r="805" spans="1:24" ht="9.75" customHeight="1" x14ac:dyDescent="0.25">
      <c r="A805" s="288">
        <v>202</v>
      </c>
      <c r="B805" s="288"/>
      <c r="D805" s="258" t="s">
        <v>380</v>
      </c>
      <c r="E805" s="289">
        <v>34790</v>
      </c>
      <c r="F805" s="289"/>
      <c r="G805" s="289"/>
      <c r="H805" s="289"/>
      <c r="I805" s="290" t="s">
        <v>205</v>
      </c>
      <c r="J805" s="290"/>
      <c r="K805" s="290"/>
      <c r="L805" s="47">
        <v>33</v>
      </c>
      <c r="M805" s="262">
        <v>2737</v>
      </c>
      <c r="N805" s="47">
        <v>100</v>
      </c>
      <c r="O805" s="291">
        <v>1803.94</v>
      </c>
      <c r="P805" s="291"/>
      <c r="Q805" s="291"/>
      <c r="R805" s="262">
        <v>82.94</v>
      </c>
      <c r="S805" s="262">
        <v>1886.88</v>
      </c>
      <c r="U805" s="149">
        <f t="shared" si="76"/>
        <v>46835</v>
      </c>
      <c r="V805" s="146">
        <f t="shared" si="77"/>
        <v>22.75</v>
      </c>
      <c r="W805" s="150">
        <f t="shared" si="78"/>
        <v>10.25</v>
      </c>
      <c r="X805" s="146">
        <f t="shared" si="80"/>
        <v>10.25</v>
      </c>
    </row>
    <row r="806" spans="1:24" ht="9.75" customHeight="1" x14ac:dyDescent="0.25">
      <c r="A806" s="288">
        <v>203</v>
      </c>
      <c r="B806" s="288"/>
      <c r="D806" s="258" t="s">
        <v>381</v>
      </c>
      <c r="E806" s="289">
        <v>34881</v>
      </c>
      <c r="F806" s="289"/>
      <c r="G806" s="289"/>
      <c r="H806" s="289"/>
      <c r="I806" s="290" t="s">
        <v>205</v>
      </c>
      <c r="J806" s="290"/>
      <c r="K806" s="290"/>
      <c r="L806" s="47">
        <v>33</v>
      </c>
      <c r="M806" s="262">
        <v>9263</v>
      </c>
      <c r="N806" s="47">
        <v>100</v>
      </c>
      <c r="O806" s="291">
        <v>6035.05</v>
      </c>
      <c r="P806" s="291"/>
      <c r="Q806" s="291"/>
      <c r="R806" s="262">
        <v>280.7</v>
      </c>
      <c r="S806" s="262">
        <v>6315.75</v>
      </c>
      <c r="U806" s="149">
        <f t="shared" si="76"/>
        <v>46926</v>
      </c>
      <c r="V806" s="146">
        <f t="shared" si="77"/>
        <v>22.5</v>
      </c>
      <c r="W806" s="150">
        <f t="shared" si="78"/>
        <v>10.5</v>
      </c>
      <c r="X806" s="146">
        <f t="shared" si="80"/>
        <v>10.5</v>
      </c>
    </row>
    <row r="807" spans="1:24" ht="9.75" customHeight="1" x14ac:dyDescent="0.25">
      <c r="A807" s="288">
        <v>204</v>
      </c>
      <c r="B807" s="288"/>
      <c r="D807" s="258" t="s">
        <v>382</v>
      </c>
      <c r="E807" s="289">
        <v>34973</v>
      </c>
      <c r="F807" s="289"/>
      <c r="G807" s="289"/>
      <c r="H807" s="289"/>
      <c r="I807" s="290" t="s">
        <v>205</v>
      </c>
      <c r="J807" s="290"/>
      <c r="K807" s="290"/>
      <c r="L807" s="47">
        <v>33</v>
      </c>
      <c r="M807" s="262">
        <v>17500</v>
      </c>
      <c r="N807" s="47">
        <v>100</v>
      </c>
      <c r="O807" s="291">
        <v>11268.880000000001</v>
      </c>
      <c r="P807" s="291"/>
      <c r="Q807" s="291"/>
      <c r="R807" s="262">
        <v>530.29999999999995</v>
      </c>
      <c r="S807" s="262">
        <v>11799.18</v>
      </c>
      <c r="U807" s="149">
        <f t="shared" si="76"/>
        <v>47018</v>
      </c>
      <c r="V807" s="146">
        <f t="shared" si="77"/>
        <v>22.25</v>
      </c>
      <c r="W807" s="150">
        <f t="shared" si="78"/>
        <v>10.75</v>
      </c>
      <c r="X807" s="146">
        <f t="shared" si="80"/>
        <v>10.75</v>
      </c>
    </row>
    <row r="808" spans="1:24" ht="9.75" customHeight="1" x14ac:dyDescent="0.25">
      <c r="A808" s="288">
        <v>221</v>
      </c>
      <c r="B808" s="288"/>
      <c r="D808" s="258" t="s">
        <v>383</v>
      </c>
      <c r="E808" s="289">
        <v>35065</v>
      </c>
      <c r="F808" s="289"/>
      <c r="G808" s="289"/>
      <c r="H808" s="289"/>
      <c r="I808" s="290" t="s">
        <v>205</v>
      </c>
      <c r="J808" s="290"/>
      <c r="K808" s="290"/>
      <c r="L808" s="47">
        <v>33</v>
      </c>
      <c r="M808" s="262">
        <v>9566</v>
      </c>
      <c r="N808" s="47">
        <v>100</v>
      </c>
      <c r="O808" s="291">
        <v>6087.4800000000005</v>
      </c>
      <c r="P808" s="291"/>
      <c r="Q808" s="291"/>
      <c r="R808" s="262">
        <v>289.88</v>
      </c>
      <c r="S808" s="262">
        <v>6377.3600000000006</v>
      </c>
      <c r="U808" s="149">
        <f t="shared" si="76"/>
        <v>47110</v>
      </c>
      <c r="V808" s="146">
        <f t="shared" si="77"/>
        <v>22</v>
      </c>
      <c r="W808" s="150">
        <f t="shared" si="78"/>
        <v>11</v>
      </c>
      <c r="X808" s="146">
        <f t="shared" si="80"/>
        <v>11</v>
      </c>
    </row>
    <row r="809" spans="1:24" ht="9.75" customHeight="1" x14ac:dyDescent="0.25">
      <c r="A809" s="288">
        <v>222</v>
      </c>
      <c r="B809" s="288"/>
      <c r="D809" s="258" t="s">
        <v>384</v>
      </c>
      <c r="E809" s="289">
        <v>35156</v>
      </c>
      <c r="F809" s="289"/>
      <c r="G809" s="289"/>
      <c r="H809" s="289"/>
      <c r="I809" s="290" t="s">
        <v>205</v>
      </c>
      <c r="J809" s="290"/>
      <c r="K809" s="290"/>
      <c r="L809" s="47">
        <v>33</v>
      </c>
      <c r="M809" s="262">
        <v>4253</v>
      </c>
      <c r="N809" s="47">
        <v>100</v>
      </c>
      <c r="O809" s="291">
        <v>2674.26</v>
      </c>
      <c r="P809" s="291"/>
      <c r="Q809" s="291"/>
      <c r="R809" s="262">
        <v>128.88</v>
      </c>
      <c r="S809" s="262">
        <v>2803.14</v>
      </c>
      <c r="U809" s="149">
        <f t="shared" si="76"/>
        <v>47201</v>
      </c>
      <c r="V809" s="146">
        <f t="shared" si="77"/>
        <v>21.75</v>
      </c>
      <c r="W809" s="150">
        <f t="shared" si="78"/>
        <v>11.25</v>
      </c>
      <c r="X809" s="146">
        <f t="shared" si="80"/>
        <v>11.25</v>
      </c>
    </row>
    <row r="810" spans="1:24" ht="9.75" customHeight="1" x14ac:dyDescent="0.25">
      <c r="A810" s="288">
        <v>223</v>
      </c>
      <c r="B810" s="288"/>
      <c r="D810" s="258" t="s">
        <v>385</v>
      </c>
      <c r="E810" s="289">
        <v>35247</v>
      </c>
      <c r="F810" s="289"/>
      <c r="G810" s="289"/>
      <c r="H810" s="289"/>
      <c r="I810" s="290" t="s">
        <v>205</v>
      </c>
      <c r="J810" s="290"/>
      <c r="K810" s="290"/>
      <c r="L810" s="47">
        <v>33</v>
      </c>
      <c r="M810" s="262">
        <v>7158</v>
      </c>
      <c r="N810" s="47">
        <v>100</v>
      </c>
      <c r="O810" s="291">
        <v>4446.6499999999996</v>
      </c>
      <c r="P810" s="291"/>
      <c r="Q810" s="291"/>
      <c r="R810" s="262">
        <v>216.91</v>
      </c>
      <c r="S810" s="262">
        <v>4663.5600000000004</v>
      </c>
      <c r="U810" s="149">
        <f t="shared" si="76"/>
        <v>47292</v>
      </c>
      <c r="V810" s="146">
        <f t="shared" si="77"/>
        <v>21.5</v>
      </c>
      <c r="W810" s="150">
        <f t="shared" si="78"/>
        <v>11.5</v>
      </c>
      <c r="X810" s="146">
        <f t="shared" si="80"/>
        <v>11.5</v>
      </c>
    </row>
    <row r="811" spans="1:24" ht="9.75" customHeight="1" x14ac:dyDescent="0.25">
      <c r="A811" s="288">
        <v>224</v>
      </c>
      <c r="B811" s="288"/>
      <c r="D811" s="258" t="s">
        <v>386</v>
      </c>
      <c r="E811" s="289">
        <v>35339</v>
      </c>
      <c r="F811" s="289"/>
      <c r="G811" s="289"/>
      <c r="H811" s="289"/>
      <c r="I811" s="290" t="s">
        <v>205</v>
      </c>
      <c r="J811" s="290"/>
      <c r="K811" s="290"/>
      <c r="L811" s="47">
        <v>33</v>
      </c>
      <c r="M811" s="262">
        <v>42354</v>
      </c>
      <c r="N811" s="47">
        <v>100</v>
      </c>
      <c r="O811" s="291">
        <v>25989.86</v>
      </c>
      <c r="P811" s="291"/>
      <c r="Q811" s="291"/>
      <c r="R811" s="262">
        <v>1283.45</v>
      </c>
      <c r="S811" s="262">
        <v>27273.31</v>
      </c>
      <c r="U811" s="149">
        <f t="shared" si="76"/>
        <v>47384</v>
      </c>
      <c r="V811" s="146">
        <f t="shared" si="77"/>
        <v>21.25</v>
      </c>
      <c r="W811" s="150">
        <f t="shared" si="78"/>
        <v>11.75</v>
      </c>
      <c r="X811" s="146">
        <f t="shared" si="80"/>
        <v>11.75</v>
      </c>
    </row>
    <row r="812" spans="1:24" ht="9.75" customHeight="1" x14ac:dyDescent="0.25">
      <c r="A812" s="288">
        <v>246</v>
      </c>
      <c r="B812" s="288"/>
      <c r="D812" s="258" t="s">
        <v>387</v>
      </c>
      <c r="E812" s="289">
        <v>36191</v>
      </c>
      <c r="F812" s="289"/>
      <c r="G812" s="289"/>
      <c r="H812" s="289"/>
      <c r="I812" s="290" t="s">
        <v>205</v>
      </c>
      <c r="J812" s="290"/>
      <c r="K812" s="290"/>
      <c r="L812" s="47">
        <v>33</v>
      </c>
      <c r="M812" s="262">
        <v>93.53</v>
      </c>
      <c r="N812" s="47">
        <v>100</v>
      </c>
      <c r="O812" s="291">
        <v>93.53</v>
      </c>
      <c r="P812" s="291"/>
      <c r="Q812" s="291"/>
      <c r="R812" s="262">
        <v>0</v>
      </c>
      <c r="S812" s="262">
        <v>93.53</v>
      </c>
      <c r="U812" s="149">
        <f t="shared" si="76"/>
        <v>48236</v>
      </c>
      <c r="V812" s="146">
        <f t="shared" si="77"/>
        <v>18.916666666666668</v>
      </c>
      <c r="W812" s="150">
        <f t="shared" si="78"/>
        <v>14.083333333333332</v>
      </c>
      <c r="X812" s="146">
        <f t="shared" si="80"/>
        <v>14.083333333333332</v>
      </c>
    </row>
    <row r="813" spans="1:24" ht="9.75" customHeight="1" x14ac:dyDescent="0.25">
      <c r="A813" s="288">
        <v>248</v>
      </c>
      <c r="B813" s="288"/>
      <c r="D813" s="258" t="s">
        <v>387</v>
      </c>
      <c r="E813" s="289">
        <v>36219</v>
      </c>
      <c r="F813" s="289"/>
      <c r="G813" s="289"/>
      <c r="H813" s="289"/>
      <c r="I813" s="290" t="s">
        <v>205</v>
      </c>
      <c r="J813" s="290"/>
      <c r="K813" s="290"/>
      <c r="L813" s="47">
        <v>33</v>
      </c>
      <c r="M813" s="262">
        <v>1778.43</v>
      </c>
      <c r="N813" s="47">
        <v>100</v>
      </c>
      <c r="O813" s="291">
        <v>1778.43</v>
      </c>
      <c r="P813" s="291"/>
      <c r="Q813" s="291"/>
      <c r="R813" s="262">
        <v>0</v>
      </c>
      <c r="S813" s="262">
        <v>1778.43</v>
      </c>
      <c r="U813" s="149">
        <f t="shared" si="76"/>
        <v>48264</v>
      </c>
      <c r="V813" s="146">
        <f t="shared" si="77"/>
        <v>18.836111111111112</v>
      </c>
      <c r="W813" s="150">
        <f t="shared" si="78"/>
        <v>14.163888888888888</v>
      </c>
      <c r="X813" s="146">
        <f t="shared" si="80"/>
        <v>14.163888888888888</v>
      </c>
    </row>
    <row r="814" spans="1:24" ht="9.75" customHeight="1" x14ac:dyDescent="0.25">
      <c r="A814" s="288">
        <v>251</v>
      </c>
      <c r="B814" s="288"/>
      <c r="D814" s="258" t="s">
        <v>387</v>
      </c>
      <c r="E814" s="289">
        <v>36250</v>
      </c>
      <c r="F814" s="289"/>
      <c r="G814" s="289"/>
      <c r="H814" s="289"/>
      <c r="I814" s="290" t="s">
        <v>205</v>
      </c>
      <c r="J814" s="290"/>
      <c r="K814" s="290"/>
      <c r="L814" s="47">
        <v>33</v>
      </c>
      <c r="M814" s="262">
        <v>1843.44</v>
      </c>
      <c r="N814" s="47">
        <v>100</v>
      </c>
      <c r="O814" s="291">
        <v>1843.44</v>
      </c>
      <c r="P814" s="291"/>
      <c r="Q814" s="291"/>
      <c r="R814" s="262">
        <v>0</v>
      </c>
      <c r="S814" s="262">
        <v>1843.44</v>
      </c>
      <c r="U814" s="149">
        <f t="shared" si="76"/>
        <v>48295</v>
      </c>
      <c r="V814" s="146">
        <f t="shared" si="77"/>
        <v>18.75</v>
      </c>
      <c r="W814" s="150">
        <f t="shared" si="78"/>
        <v>14.25</v>
      </c>
      <c r="X814" s="146">
        <f t="shared" si="80"/>
        <v>14.25</v>
      </c>
    </row>
    <row r="815" spans="1:24" ht="9.75" customHeight="1" x14ac:dyDescent="0.25">
      <c r="A815" s="288">
        <v>254</v>
      </c>
      <c r="B815" s="288"/>
      <c r="D815" s="258" t="s">
        <v>388</v>
      </c>
      <c r="E815" s="289">
        <v>36280</v>
      </c>
      <c r="F815" s="289"/>
      <c r="G815" s="289"/>
      <c r="H815" s="289"/>
      <c r="I815" s="290" t="s">
        <v>205</v>
      </c>
      <c r="J815" s="290"/>
      <c r="K815" s="290"/>
      <c r="L815" s="47">
        <v>33</v>
      </c>
      <c r="M815" s="262">
        <v>535.4</v>
      </c>
      <c r="N815" s="47">
        <v>100</v>
      </c>
      <c r="O815" s="291">
        <v>535.4</v>
      </c>
      <c r="P815" s="291"/>
      <c r="Q815" s="291"/>
      <c r="R815" s="262">
        <v>0</v>
      </c>
      <c r="S815" s="262">
        <v>535.4</v>
      </c>
      <c r="U815" s="149">
        <f t="shared" si="76"/>
        <v>48325</v>
      </c>
      <c r="V815" s="146">
        <f t="shared" si="77"/>
        <v>18.666666666666668</v>
      </c>
      <c r="W815" s="150">
        <f t="shared" si="78"/>
        <v>14.333333333333332</v>
      </c>
      <c r="X815" s="146">
        <f t="shared" si="80"/>
        <v>14.333333333333332</v>
      </c>
    </row>
    <row r="816" spans="1:24" ht="9.75" customHeight="1" x14ac:dyDescent="0.25">
      <c r="A816" s="288">
        <v>260</v>
      </c>
      <c r="B816" s="288"/>
      <c r="D816" s="258" t="s">
        <v>388</v>
      </c>
      <c r="E816" s="289">
        <v>36311</v>
      </c>
      <c r="F816" s="289"/>
      <c r="G816" s="289"/>
      <c r="H816" s="289"/>
      <c r="I816" s="290" t="s">
        <v>205</v>
      </c>
      <c r="J816" s="290"/>
      <c r="K816" s="290"/>
      <c r="L816" s="47">
        <v>33</v>
      </c>
      <c r="M816" s="262">
        <v>566.17999999999995</v>
      </c>
      <c r="N816" s="47">
        <v>100</v>
      </c>
      <c r="O816" s="291">
        <v>566.17999999999995</v>
      </c>
      <c r="P816" s="291"/>
      <c r="Q816" s="291"/>
      <c r="R816" s="262">
        <v>0</v>
      </c>
      <c r="S816" s="262">
        <v>566.17999999999995</v>
      </c>
      <c r="U816" s="149">
        <f t="shared" si="76"/>
        <v>48356</v>
      </c>
      <c r="V816" s="146">
        <f t="shared" si="77"/>
        <v>18.583333333333332</v>
      </c>
      <c r="W816" s="150">
        <f t="shared" si="78"/>
        <v>14.416666666666668</v>
      </c>
      <c r="X816" s="146">
        <f t="shared" si="80"/>
        <v>14.416666666666668</v>
      </c>
    </row>
    <row r="817" spans="1:24" ht="9.75" customHeight="1" x14ac:dyDescent="0.25">
      <c r="A817" s="288">
        <v>263</v>
      </c>
      <c r="B817" s="288"/>
      <c r="D817" s="258" t="s">
        <v>388</v>
      </c>
      <c r="E817" s="289">
        <v>36341</v>
      </c>
      <c r="F817" s="289"/>
      <c r="G817" s="289"/>
      <c r="H817" s="289"/>
      <c r="I817" s="290" t="s">
        <v>205</v>
      </c>
      <c r="J817" s="290"/>
      <c r="K817" s="290"/>
      <c r="L817" s="47">
        <v>33</v>
      </c>
      <c r="M817" s="262">
        <v>3740.3</v>
      </c>
      <c r="N817" s="47">
        <v>100</v>
      </c>
      <c r="O817" s="291">
        <v>3740.3</v>
      </c>
      <c r="P817" s="291"/>
      <c r="Q817" s="291"/>
      <c r="R817" s="262">
        <v>0</v>
      </c>
      <c r="S817" s="262">
        <v>3740.3</v>
      </c>
      <c r="U817" s="149">
        <f t="shared" si="76"/>
        <v>48386</v>
      </c>
      <c r="V817" s="146">
        <f t="shared" si="77"/>
        <v>18.5</v>
      </c>
      <c r="W817" s="150">
        <f t="shared" si="78"/>
        <v>14.5</v>
      </c>
      <c r="X817" s="146">
        <f t="shared" si="80"/>
        <v>14.5</v>
      </c>
    </row>
    <row r="818" spans="1:24" ht="9.75" customHeight="1" x14ac:dyDescent="0.25">
      <c r="A818" s="288">
        <v>269</v>
      </c>
      <c r="B818" s="288"/>
      <c r="D818" s="258" t="s">
        <v>389</v>
      </c>
      <c r="E818" s="289">
        <v>36403</v>
      </c>
      <c r="F818" s="289"/>
      <c r="G818" s="289"/>
      <c r="H818" s="289"/>
      <c r="I818" s="290" t="s">
        <v>205</v>
      </c>
      <c r="J818" s="290"/>
      <c r="K818" s="290"/>
      <c r="L818" s="47">
        <v>33</v>
      </c>
      <c r="M818" s="262">
        <v>23602.83</v>
      </c>
      <c r="N818" s="47">
        <v>100</v>
      </c>
      <c r="O818" s="291">
        <v>20481.650000000001</v>
      </c>
      <c r="P818" s="291"/>
      <c r="Q818" s="291"/>
      <c r="R818" s="262">
        <v>715.24</v>
      </c>
      <c r="S818" s="262">
        <v>21196.89</v>
      </c>
      <c r="U818" s="149">
        <f t="shared" si="76"/>
        <v>48448</v>
      </c>
      <c r="V818" s="146">
        <f t="shared" si="77"/>
        <v>18.333333333333332</v>
      </c>
      <c r="W818" s="150">
        <f t="shared" si="78"/>
        <v>14.666666666666668</v>
      </c>
      <c r="X818" s="146">
        <f t="shared" si="80"/>
        <v>14.666666666666668</v>
      </c>
    </row>
    <row r="819" spans="1:24" ht="9.75" customHeight="1" x14ac:dyDescent="0.25">
      <c r="A819" s="288">
        <v>271</v>
      </c>
      <c r="B819" s="288"/>
      <c r="D819" s="258" t="s">
        <v>389</v>
      </c>
      <c r="E819" s="289">
        <v>36433</v>
      </c>
      <c r="F819" s="289"/>
      <c r="G819" s="289"/>
      <c r="H819" s="289"/>
      <c r="I819" s="290" t="s">
        <v>205</v>
      </c>
      <c r="J819" s="290"/>
      <c r="K819" s="290"/>
      <c r="L819" s="47">
        <v>33</v>
      </c>
      <c r="M819" s="262">
        <v>1106.5899999999999</v>
      </c>
      <c r="N819" s="47">
        <v>100</v>
      </c>
      <c r="O819" s="291">
        <v>581.19000000000005</v>
      </c>
      <c r="P819" s="291"/>
      <c r="Q819" s="291"/>
      <c r="R819" s="262">
        <v>33.53</v>
      </c>
      <c r="S819" s="262">
        <v>614.72</v>
      </c>
      <c r="U819" s="149">
        <f t="shared" si="76"/>
        <v>48478</v>
      </c>
      <c r="V819" s="146">
        <f t="shared" si="77"/>
        <v>18.25</v>
      </c>
      <c r="W819" s="150">
        <f t="shared" si="78"/>
        <v>14.75</v>
      </c>
      <c r="X819" s="146">
        <f t="shared" si="80"/>
        <v>14.75</v>
      </c>
    </row>
    <row r="820" spans="1:24" ht="9.75" customHeight="1" x14ac:dyDescent="0.25">
      <c r="A820" s="288">
        <v>273</v>
      </c>
      <c r="B820" s="288"/>
      <c r="D820" s="258" t="s">
        <v>390</v>
      </c>
      <c r="E820" s="289">
        <v>36464</v>
      </c>
      <c r="F820" s="289"/>
      <c r="G820" s="289"/>
      <c r="H820" s="289"/>
      <c r="I820" s="290" t="s">
        <v>205</v>
      </c>
      <c r="J820" s="290"/>
      <c r="K820" s="290"/>
      <c r="L820" s="47">
        <v>33</v>
      </c>
      <c r="M820" s="262">
        <v>4927.1899999999996</v>
      </c>
      <c r="N820" s="47">
        <v>100</v>
      </c>
      <c r="O820" s="291">
        <v>2575.6</v>
      </c>
      <c r="P820" s="291"/>
      <c r="Q820" s="291"/>
      <c r="R820" s="262">
        <v>149.31</v>
      </c>
      <c r="S820" s="262">
        <v>2724.91</v>
      </c>
      <c r="U820" s="149">
        <f t="shared" si="76"/>
        <v>48509</v>
      </c>
      <c r="V820" s="146">
        <f t="shared" si="77"/>
        <v>18.166666666666668</v>
      </c>
      <c r="W820" s="150">
        <f t="shared" si="78"/>
        <v>14.833333333333332</v>
      </c>
      <c r="X820" s="146">
        <f t="shared" si="80"/>
        <v>14.833333333333332</v>
      </c>
    </row>
    <row r="821" spans="1:24" ht="9.75" customHeight="1" x14ac:dyDescent="0.25">
      <c r="A821" s="288">
        <v>277</v>
      </c>
      <c r="B821" s="288"/>
      <c r="D821" s="258" t="s">
        <v>390</v>
      </c>
      <c r="E821" s="289">
        <v>36494</v>
      </c>
      <c r="F821" s="289"/>
      <c r="G821" s="289"/>
      <c r="H821" s="289"/>
      <c r="I821" s="290" t="s">
        <v>205</v>
      </c>
      <c r="J821" s="290"/>
      <c r="K821" s="290"/>
      <c r="L821" s="47">
        <v>33</v>
      </c>
      <c r="M821" s="262">
        <v>8330.7000000000007</v>
      </c>
      <c r="N821" s="47">
        <v>100</v>
      </c>
      <c r="O821" s="291">
        <v>8330.7000000000007</v>
      </c>
      <c r="P821" s="291"/>
      <c r="Q821" s="291"/>
      <c r="R821" s="262">
        <v>0</v>
      </c>
      <c r="S821" s="262">
        <v>8330.7000000000007</v>
      </c>
      <c r="U821" s="149">
        <f t="shared" si="76"/>
        <v>48539</v>
      </c>
      <c r="V821" s="146">
        <f t="shared" si="77"/>
        <v>18.083333333333332</v>
      </c>
      <c r="W821" s="150">
        <f t="shared" si="78"/>
        <v>14.916666666666668</v>
      </c>
      <c r="X821" s="146">
        <f t="shared" si="80"/>
        <v>14.916666666666668</v>
      </c>
    </row>
    <row r="822" spans="1:24" ht="9.75" customHeight="1" x14ac:dyDescent="0.25">
      <c r="A822" s="288">
        <v>281</v>
      </c>
      <c r="B822" s="288"/>
      <c r="D822" s="258" t="s">
        <v>390</v>
      </c>
      <c r="E822" s="289">
        <v>36525</v>
      </c>
      <c r="F822" s="289"/>
      <c r="G822" s="289"/>
      <c r="H822" s="289"/>
      <c r="I822" s="290" t="s">
        <v>205</v>
      </c>
      <c r="J822" s="290"/>
      <c r="K822" s="290"/>
      <c r="L822" s="47">
        <v>33</v>
      </c>
      <c r="M822" s="262">
        <v>5828.52</v>
      </c>
      <c r="N822" s="47">
        <v>100</v>
      </c>
      <c r="O822" s="291">
        <v>5828.52</v>
      </c>
      <c r="P822" s="291"/>
      <c r="Q822" s="291"/>
      <c r="R822" s="262">
        <v>0</v>
      </c>
      <c r="S822" s="262">
        <v>5828.52</v>
      </c>
      <c r="U822" s="149">
        <f t="shared" si="76"/>
        <v>48570</v>
      </c>
      <c r="V822" s="146">
        <f t="shared" si="77"/>
        <v>18</v>
      </c>
      <c r="W822" s="150">
        <f t="shared" si="78"/>
        <v>15</v>
      </c>
      <c r="X822" s="146">
        <f t="shared" si="80"/>
        <v>15</v>
      </c>
    </row>
    <row r="823" spans="1:24" ht="9.75" customHeight="1" x14ac:dyDescent="0.25">
      <c r="A823" s="288">
        <v>285</v>
      </c>
      <c r="B823" s="288"/>
      <c r="D823" s="258" t="s">
        <v>68</v>
      </c>
      <c r="E823" s="289">
        <v>36556</v>
      </c>
      <c r="F823" s="289"/>
      <c r="G823" s="289"/>
      <c r="H823" s="289"/>
      <c r="I823" s="290" t="s">
        <v>205</v>
      </c>
      <c r="J823" s="290"/>
      <c r="K823" s="290"/>
      <c r="L823" s="47">
        <v>33.299999999999997</v>
      </c>
      <c r="M823" s="262">
        <v>896.14</v>
      </c>
      <c r="N823" s="47">
        <v>100</v>
      </c>
      <c r="O823" s="291">
        <v>457.47</v>
      </c>
      <c r="P823" s="291"/>
      <c r="Q823" s="291"/>
      <c r="R823" s="262">
        <v>26.91</v>
      </c>
      <c r="S823" s="262">
        <v>484.38</v>
      </c>
      <c r="U823" s="149">
        <f t="shared" si="76"/>
        <v>48710.5</v>
      </c>
      <c r="V823" s="146">
        <f t="shared" si="77"/>
        <v>17.916666666666668</v>
      </c>
      <c r="W823" s="150">
        <f t="shared" si="78"/>
        <v>15.383333333333329</v>
      </c>
      <c r="X823" s="146">
        <f t="shared" ref="X823:X854" si="81">IF(W823=0,0,W823)</f>
        <v>15.383333333333329</v>
      </c>
    </row>
    <row r="824" spans="1:24" ht="9.75" customHeight="1" x14ac:dyDescent="0.25">
      <c r="A824" s="288">
        <v>290</v>
      </c>
      <c r="B824" s="288"/>
      <c r="D824" s="258" t="s">
        <v>68</v>
      </c>
      <c r="E824" s="289">
        <v>36585</v>
      </c>
      <c r="F824" s="289"/>
      <c r="G824" s="289"/>
      <c r="H824" s="289"/>
      <c r="I824" s="290" t="s">
        <v>205</v>
      </c>
      <c r="J824" s="290"/>
      <c r="K824" s="290"/>
      <c r="L824" s="47">
        <v>33.299999999999997</v>
      </c>
      <c r="M824" s="262">
        <v>-554.80999999999995</v>
      </c>
      <c r="N824" s="47">
        <v>100</v>
      </c>
      <c r="O824" s="291">
        <v>-281.83</v>
      </c>
      <c r="P824" s="291"/>
      <c r="Q824" s="291"/>
      <c r="R824" s="262">
        <v>-16.66</v>
      </c>
      <c r="S824" s="262">
        <v>-298.49</v>
      </c>
      <c r="U824" s="149">
        <f t="shared" si="76"/>
        <v>48739.5</v>
      </c>
      <c r="V824" s="146">
        <f t="shared" si="77"/>
        <v>17.836111111111112</v>
      </c>
      <c r="W824" s="150">
        <f t="shared" si="78"/>
        <v>15.463888888888885</v>
      </c>
      <c r="X824" s="146">
        <f t="shared" si="81"/>
        <v>15.463888888888885</v>
      </c>
    </row>
    <row r="825" spans="1:24" ht="9.75" customHeight="1" x14ac:dyDescent="0.25">
      <c r="A825" s="288">
        <v>293</v>
      </c>
      <c r="B825" s="288"/>
      <c r="D825" s="258" t="s">
        <v>68</v>
      </c>
      <c r="E825" s="289">
        <v>36616</v>
      </c>
      <c r="F825" s="289"/>
      <c r="G825" s="289"/>
      <c r="H825" s="289"/>
      <c r="I825" s="290" t="s">
        <v>205</v>
      </c>
      <c r="J825" s="290"/>
      <c r="K825" s="290"/>
      <c r="L825" s="47">
        <v>33.299999999999997</v>
      </c>
      <c r="M825" s="262">
        <v>3508.76</v>
      </c>
      <c r="N825" s="47">
        <v>100</v>
      </c>
      <c r="O825" s="291">
        <v>1773.73</v>
      </c>
      <c r="P825" s="291"/>
      <c r="Q825" s="291"/>
      <c r="R825" s="262">
        <v>105.37</v>
      </c>
      <c r="S825" s="262">
        <v>1879.1000000000001</v>
      </c>
      <c r="U825" s="149">
        <f t="shared" si="76"/>
        <v>48770.5</v>
      </c>
      <c r="V825" s="146">
        <f t="shared" si="77"/>
        <v>17.75</v>
      </c>
      <c r="W825" s="150">
        <f t="shared" si="78"/>
        <v>15.549999999999997</v>
      </c>
      <c r="X825" s="146">
        <f t="shared" si="81"/>
        <v>15.549999999999997</v>
      </c>
    </row>
    <row r="826" spans="1:24" ht="9.75" customHeight="1" x14ac:dyDescent="0.25">
      <c r="A826" s="288">
        <v>296</v>
      </c>
      <c r="B826" s="288"/>
      <c r="D826" s="258" t="s">
        <v>68</v>
      </c>
      <c r="E826" s="289">
        <v>36646</v>
      </c>
      <c r="F826" s="289"/>
      <c r="G826" s="289"/>
      <c r="H826" s="289"/>
      <c r="I826" s="290" t="s">
        <v>205</v>
      </c>
      <c r="J826" s="290"/>
      <c r="K826" s="290"/>
      <c r="L826" s="47">
        <v>33.299999999999997</v>
      </c>
      <c r="M826" s="262">
        <v>1492.69</v>
      </c>
      <c r="N826" s="47">
        <v>100</v>
      </c>
      <c r="O826" s="291">
        <v>750.9</v>
      </c>
      <c r="P826" s="291"/>
      <c r="Q826" s="291"/>
      <c r="R826" s="262">
        <v>44.83</v>
      </c>
      <c r="S826" s="262">
        <v>795.73</v>
      </c>
      <c r="U826" s="149">
        <f t="shared" si="76"/>
        <v>48800.5</v>
      </c>
      <c r="V826" s="146">
        <f t="shared" si="77"/>
        <v>17.666666666666668</v>
      </c>
      <c r="W826" s="150">
        <f t="shared" si="78"/>
        <v>15.633333333333329</v>
      </c>
      <c r="X826" s="146">
        <f t="shared" si="81"/>
        <v>15.633333333333329</v>
      </c>
    </row>
    <row r="827" spans="1:24" ht="9.75" customHeight="1" x14ac:dyDescent="0.25">
      <c r="A827" s="288">
        <v>300</v>
      </c>
      <c r="B827" s="288"/>
      <c r="D827" s="258" t="s">
        <v>68</v>
      </c>
      <c r="E827" s="289">
        <v>36677</v>
      </c>
      <c r="F827" s="289"/>
      <c r="G827" s="289"/>
      <c r="H827" s="289"/>
      <c r="I827" s="290" t="s">
        <v>205</v>
      </c>
      <c r="J827" s="290"/>
      <c r="K827" s="290"/>
      <c r="L827" s="47">
        <v>33.299999999999997</v>
      </c>
      <c r="M827" s="262">
        <v>2134.5300000000002</v>
      </c>
      <c r="N827" s="47">
        <v>100</v>
      </c>
      <c r="O827" s="291">
        <v>1068.33</v>
      </c>
      <c r="P827" s="291"/>
      <c r="Q827" s="291"/>
      <c r="R827" s="262">
        <v>64.099999999999994</v>
      </c>
      <c r="S827" s="262">
        <v>1132.43</v>
      </c>
      <c r="U827" s="149">
        <f t="shared" si="76"/>
        <v>48831.5</v>
      </c>
      <c r="V827" s="146">
        <f t="shared" si="77"/>
        <v>17.583333333333332</v>
      </c>
      <c r="W827" s="150">
        <f t="shared" si="78"/>
        <v>15.716666666666665</v>
      </c>
      <c r="X827" s="146">
        <f t="shared" si="81"/>
        <v>15.716666666666665</v>
      </c>
    </row>
    <row r="828" spans="1:24" ht="9.75" customHeight="1" x14ac:dyDescent="0.25">
      <c r="A828" s="288">
        <v>305</v>
      </c>
      <c r="B828" s="288"/>
      <c r="D828" s="258" t="s">
        <v>68</v>
      </c>
      <c r="E828" s="289">
        <v>36707</v>
      </c>
      <c r="F828" s="289"/>
      <c r="G828" s="289"/>
      <c r="H828" s="289"/>
      <c r="I828" s="290" t="s">
        <v>205</v>
      </c>
      <c r="J828" s="290"/>
      <c r="K828" s="290"/>
      <c r="L828" s="47">
        <v>33.299999999999997</v>
      </c>
      <c r="M828" s="262">
        <v>804.12</v>
      </c>
      <c r="N828" s="47">
        <v>100</v>
      </c>
      <c r="O828" s="291">
        <v>400.49</v>
      </c>
      <c r="P828" s="291"/>
      <c r="Q828" s="291"/>
      <c r="R828" s="262">
        <v>24.150000000000002</v>
      </c>
      <c r="S828" s="262">
        <v>424.64</v>
      </c>
      <c r="U828" s="149">
        <f t="shared" si="76"/>
        <v>48861.5</v>
      </c>
      <c r="V828" s="146">
        <f t="shared" si="77"/>
        <v>17.5</v>
      </c>
      <c r="W828" s="150">
        <f t="shared" si="78"/>
        <v>15.799999999999997</v>
      </c>
      <c r="X828" s="146">
        <f t="shared" si="81"/>
        <v>15.799999999999997</v>
      </c>
    </row>
    <row r="829" spans="1:24" ht="9.75" customHeight="1" x14ac:dyDescent="0.25">
      <c r="A829" s="288">
        <v>308</v>
      </c>
      <c r="B829" s="288"/>
      <c r="D829" s="258" t="s">
        <v>68</v>
      </c>
      <c r="E829" s="289">
        <v>36738</v>
      </c>
      <c r="F829" s="289"/>
      <c r="G829" s="289"/>
      <c r="H829" s="289"/>
      <c r="I829" s="290" t="s">
        <v>205</v>
      </c>
      <c r="J829" s="290"/>
      <c r="K829" s="290"/>
      <c r="L829" s="47">
        <v>33.299999999999997</v>
      </c>
      <c r="M829" s="262">
        <v>2529.58</v>
      </c>
      <c r="N829" s="47">
        <v>100</v>
      </c>
      <c r="O829" s="291">
        <v>1253.3399999999999</v>
      </c>
      <c r="P829" s="291"/>
      <c r="Q829" s="291"/>
      <c r="R829" s="262">
        <v>75.959999999999994</v>
      </c>
      <c r="S829" s="262">
        <v>1329.3</v>
      </c>
      <c r="U829" s="149">
        <f t="shared" si="76"/>
        <v>48892.5</v>
      </c>
      <c r="V829" s="146">
        <f t="shared" si="77"/>
        <v>17.416666666666668</v>
      </c>
      <c r="W829" s="150">
        <f t="shared" si="78"/>
        <v>15.883333333333329</v>
      </c>
      <c r="X829" s="146">
        <f t="shared" si="81"/>
        <v>15.883333333333329</v>
      </c>
    </row>
    <row r="830" spans="1:24" ht="9.75" customHeight="1" x14ac:dyDescent="0.25">
      <c r="A830" s="288">
        <v>315</v>
      </c>
      <c r="B830" s="288"/>
      <c r="D830" s="258" t="s">
        <v>68</v>
      </c>
      <c r="E830" s="289">
        <v>36769</v>
      </c>
      <c r="F830" s="289"/>
      <c r="G830" s="289"/>
      <c r="H830" s="289"/>
      <c r="I830" s="290" t="s">
        <v>205</v>
      </c>
      <c r="J830" s="290"/>
      <c r="K830" s="290"/>
      <c r="L830" s="47">
        <v>33.299999999999997</v>
      </c>
      <c r="M830" s="262">
        <v>3596.2200000000003</v>
      </c>
      <c r="N830" s="47">
        <v>100</v>
      </c>
      <c r="O830" s="291">
        <v>1772.8400000000001</v>
      </c>
      <c r="P830" s="291"/>
      <c r="Q830" s="291"/>
      <c r="R830" s="262">
        <v>107.99000000000001</v>
      </c>
      <c r="S830" s="262">
        <v>1880.83</v>
      </c>
      <c r="U830" s="149">
        <f t="shared" si="76"/>
        <v>48923.5</v>
      </c>
      <c r="V830" s="146">
        <f t="shared" si="77"/>
        <v>17.333333333333332</v>
      </c>
      <c r="W830" s="150">
        <f t="shared" si="78"/>
        <v>15.966666666666665</v>
      </c>
      <c r="X830" s="146">
        <f t="shared" si="81"/>
        <v>15.966666666666665</v>
      </c>
    </row>
    <row r="831" spans="1:24" ht="9.75" customHeight="1" x14ac:dyDescent="0.25">
      <c r="A831" s="288">
        <v>319</v>
      </c>
      <c r="B831" s="288"/>
      <c r="D831" s="258" t="s">
        <v>68</v>
      </c>
      <c r="E831" s="289">
        <v>36799</v>
      </c>
      <c r="F831" s="289"/>
      <c r="G831" s="289"/>
      <c r="H831" s="289"/>
      <c r="I831" s="290" t="s">
        <v>205</v>
      </c>
      <c r="J831" s="290"/>
      <c r="K831" s="290"/>
      <c r="L831" s="47">
        <v>33.299999999999997</v>
      </c>
      <c r="M831" s="262">
        <v>2536.12</v>
      </c>
      <c r="N831" s="47">
        <v>100</v>
      </c>
      <c r="O831" s="291">
        <v>1243.95</v>
      </c>
      <c r="P831" s="291"/>
      <c r="Q831" s="291"/>
      <c r="R831" s="262">
        <v>76.16</v>
      </c>
      <c r="S831" s="262">
        <v>1320.1100000000001</v>
      </c>
      <c r="U831" s="149">
        <f t="shared" si="76"/>
        <v>48953.5</v>
      </c>
      <c r="V831" s="146">
        <f t="shared" si="77"/>
        <v>17.25</v>
      </c>
      <c r="W831" s="150">
        <f t="shared" si="78"/>
        <v>16.049999999999997</v>
      </c>
      <c r="X831" s="146">
        <f t="shared" si="81"/>
        <v>16.049999999999997</v>
      </c>
    </row>
    <row r="832" spans="1:24" ht="9.75" customHeight="1" x14ac:dyDescent="0.25">
      <c r="A832" s="288">
        <v>324</v>
      </c>
      <c r="B832" s="288"/>
      <c r="D832" s="258" t="s">
        <v>68</v>
      </c>
      <c r="E832" s="289">
        <v>36830</v>
      </c>
      <c r="F832" s="289"/>
      <c r="G832" s="289"/>
      <c r="H832" s="289"/>
      <c r="I832" s="290" t="s">
        <v>205</v>
      </c>
      <c r="J832" s="290"/>
      <c r="K832" s="290"/>
      <c r="L832" s="47">
        <v>33.299999999999997</v>
      </c>
      <c r="M832" s="262">
        <v>3067.84</v>
      </c>
      <c r="N832" s="47">
        <v>100</v>
      </c>
      <c r="O832" s="291">
        <v>1497.1100000000001</v>
      </c>
      <c r="P832" s="291"/>
      <c r="Q832" s="291"/>
      <c r="R832" s="262">
        <v>92.13</v>
      </c>
      <c r="S832" s="262">
        <v>1589.24</v>
      </c>
      <c r="U832" s="149">
        <f t="shared" si="76"/>
        <v>48984.5</v>
      </c>
      <c r="V832" s="146">
        <f t="shared" si="77"/>
        <v>17.166666666666668</v>
      </c>
      <c r="W832" s="150">
        <f t="shared" si="78"/>
        <v>16.133333333333329</v>
      </c>
      <c r="X832" s="146">
        <f t="shared" si="81"/>
        <v>16.133333333333329</v>
      </c>
    </row>
    <row r="833" spans="1:24" ht="9.75" customHeight="1" x14ac:dyDescent="0.25">
      <c r="A833" s="288">
        <v>327</v>
      </c>
      <c r="B833" s="288"/>
      <c r="D833" s="258" t="s">
        <v>68</v>
      </c>
      <c r="E833" s="289">
        <v>39629</v>
      </c>
      <c r="F833" s="289"/>
      <c r="G833" s="289"/>
      <c r="H833" s="289"/>
      <c r="I833" s="290" t="s">
        <v>205</v>
      </c>
      <c r="J833" s="290"/>
      <c r="K833" s="290"/>
      <c r="L833" s="47">
        <v>33</v>
      </c>
      <c r="M833" s="262">
        <v>646.24</v>
      </c>
      <c r="N833" s="47">
        <v>100</v>
      </c>
      <c r="O833" s="291">
        <v>166.43</v>
      </c>
      <c r="P833" s="291"/>
      <c r="Q833" s="291"/>
      <c r="R833" s="262">
        <v>19.579999999999998</v>
      </c>
      <c r="S833" s="262">
        <v>186.01</v>
      </c>
      <c r="U833" s="149">
        <f t="shared" si="76"/>
        <v>51674</v>
      </c>
      <c r="V833" s="146">
        <f t="shared" si="77"/>
        <v>9.5</v>
      </c>
      <c r="W833" s="150">
        <f t="shared" si="78"/>
        <v>23.5</v>
      </c>
      <c r="X833" s="146">
        <f t="shared" si="81"/>
        <v>23.5</v>
      </c>
    </row>
    <row r="834" spans="1:24" ht="9.75" customHeight="1" x14ac:dyDescent="0.25">
      <c r="A834" s="288">
        <v>329</v>
      </c>
      <c r="B834" s="288"/>
      <c r="D834" s="258" t="s">
        <v>68</v>
      </c>
      <c r="E834" s="289">
        <v>36860</v>
      </c>
      <c r="F834" s="289"/>
      <c r="G834" s="289"/>
      <c r="H834" s="289"/>
      <c r="I834" s="290" t="s">
        <v>205</v>
      </c>
      <c r="J834" s="290"/>
      <c r="K834" s="290"/>
      <c r="L834" s="47">
        <v>33.299999999999997</v>
      </c>
      <c r="M834" s="262">
        <v>13101.54</v>
      </c>
      <c r="N834" s="47">
        <v>100</v>
      </c>
      <c r="O834" s="291">
        <v>6360.6100000000006</v>
      </c>
      <c r="P834" s="291"/>
      <c r="Q834" s="291"/>
      <c r="R834" s="262">
        <v>393.44</v>
      </c>
      <c r="S834" s="262">
        <v>6754.05</v>
      </c>
      <c r="U834" s="149">
        <f t="shared" si="76"/>
        <v>49014.5</v>
      </c>
      <c r="V834" s="146">
        <f t="shared" si="77"/>
        <v>17.083333333333332</v>
      </c>
      <c r="W834" s="150">
        <f t="shared" si="78"/>
        <v>16.216666666666665</v>
      </c>
      <c r="X834" s="146">
        <f t="shared" si="81"/>
        <v>16.216666666666665</v>
      </c>
    </row>
    <row r="835" spans="1:24" ht="9.75" customHeight="1" x14ac:dyDescent="0.25">
      <c r="A835" s="288">
        <v>334</v>
      </c>
      <c r="B835" s="288"/>
      <c r="D835" s="258" t="s">
        <v>68</v>
      </c>
      <c r="E835" s="289">
        <v>36891</v>
      </c>
      <c r="F835" s="289"/>
      <c r="G835" s="289"/>
      <c r="H835" s="289"/>
      <c r="I835" s="290" t="s">
        <v>205</v>
      </c>
      <c r="J835" s="290"/>
      <c r="K835" s="290"/>
      <c r="L835" s="47">
        <v>33.299999999999997</v>
      </c>
      <c r="M835" s="262">
        <v>90</v>
      </c>
      <c r="N835" s="47">
        <v>100</v>
      </c>
      <c r="O835" s="291">
        <v>43.43</v>
      </c>
      <c r="P835" s="291"/>
      <c r="Q835" s="291"/>
      <c r="R835" s="262">
        <v>2.7</v>
      </c>
      <c r="S835" s="262">
        <v>46.13</v>
      </c>
      <c r="U835" s="149">
        <f t="shared" si="76"/>
        <v>49045.5</v>
      </c>
      <c r="V835" s="146">
        <f t="shared" si="77"/>
        <v>17</v>
      </c>
      <c r="W835" s="150">
        <f t="shared" si="78"/>
        <v>16.299999999999997</v>
      </c>
      <c r="X835" s="146">
        <f t="shared" si="81"/>
        <v>16.299999999999997</v>
      </c>
    </row>
    <row r="836" spans="1:24" ht="9.75" customHeight="1" x14ac:dyDescent="0.25">
      <c r="A836" s="288">
        <v>340</v>
      </c>
      <c r="B836" s="288"/>
      <c r="D836" s="258" t="s">
        <v>68</v>
      </c>
      <c r="E836" s="289">
        <v>36922</v>
      </c>
      <c r="F836" s="289"/>
      <c r="G836" s="289"/>
      <c r="H836" s="289"/>
      <c r="I836" s="290" t="s">
        <v>205</v>
      </c>
      <c r="J836" s="290"/>
      <c r="K836" s="290"/>
      <c r="L836" s="47">
        <v>33</v>
      </c>
      <c r="M836" s="262">
        <v>504.57</v>
      </c>
      <c r="N836" s="47">
        <v>100</v>
      </c>
      <c r="O836" s="291">
        <v>244.64000000000001</v>
      </c>
      <c r="P836" s="291"/>
      <c r="Q836" s="291"/>
      <c r="R836" s="262">
        <v>15.290000000000001</v>
      </c>
      <c r="S836" s="262">
        <v>259.93</v>
      </c>
      <c r="U836" s="149">
        <f t="shared" ref="U836:U899" si="82">E836+(L836*365)</f>
        <v>48967</v>
      </c>
      <c r="V836" s="146">
        <f t="shared" ref="V836:V899" si="83">YEARFRAC(E836,$V$14)</f>
        <v>16.916666666666668</v>
      </c>
      <c r="W836" s="150">
        <f t="shared" ref="W836:W899" si="84">IF(V836&gt;L836,0,L836-V836)</f>
        <v>16.083333333333332</v>
      </c>
      <c r="X836" s="146">
        <f t="shared" si="81"/>
        <v>16.083333333333332</v>
      </c>
    </row>
    <row r="837" spans="1:24" ht="9.75" customHeight="1" x14ac:dyDescent="0.25">
      <c r="A837" s="288">
        <v>345</v>
      </c>
      <c r="B837" s="288"/>
      <c r="D837" s="258" t="s">
        <v>68</v>
      </c>
      <c r="E837" s="289">
        <v>36950</v>
      </c>
      <c r="F837" s="289"/>
      <c r="G837" s="289"/>
      <c r="H837" s="289"/>
      <c r="I837" s="290" t="s">
        <v>205</v>
      </c>
      <c r="J837" s="290"/>
      <c r="K837" s="290"/>
      <c r="L837" s="47">
        <v>33</v>
      </c>
      <c r="M837" s="262">
        <v>543.1</v>
      </c>
      <c r="N837" s="47">
        <v>100</v>
      </c>
      <c r="O837" s="291">
        <v>261.99</v>
      </c>
      <c r="P837" s="291"/>
      <c r="Q837" s="291"/>
      <c r="R837" s="262">
        <v>16.46</v>
      </c>
      <c r="S837" s="262">
        <v>278.45</v>
      </c>
      <c r="U837" s="149">
        <f t="shared" si="82"/>
        <v>48995</v>
      </c>
      <c r="V837" s="146">
        <f t="shared" si="83"/>
        <v>16.836111111111112</v>
      </c>
      <c r="W837" s="150">
        <f t="shared" si="84"/>
        <v>16.163888888888888</v>
      </c>
      <c r="X837" s="146">
        <f t="shared" si="81"/>
        <v>16.163888888888888</v>
      </c>
    </row>
    <row r="838" spans="1:24" ht="9.75" customHeight="1" x14ac:dyDescent="0.25">
      <c r="A838" s="288">
        <v>349</v>
      </c>
      <c r="B838" s="288"/>
      <c r="D838" s="258" t="s">
        <v>68</v>
      </c>
      <c r="E838" s="289">
        <v>36981</v>
      </c>
      <c r="F838" s="289"/>
      <c r="G838" s="289"/>
      <c r="H838" s="289"/>
      <c r="I838" s="290" t="s">
        <v>205</v>
      </c>
      <c r="J838" s="290"/>
      <c r="K838" s="290"/>
      <c r="L838" s="47">
        <v>33</v>
      </c>
      <c r="M838" s="262">
        <v>2349.13</v>
      </c>
      <c r="N838" s="47">
        <v>100</v>
      </c>
      <c r="O838" s="291">
        <v>1127.17</v>
      </c>
      <c r="P838" s="291"/>
      <c r="Q838" s="291"/>
      <c r="R838" s="262">
        <v>71.19</v>
      </c>
      <c r="S838" s="262">
        <v>1198.3599999999999</v>
      </c>
      <c r="U838" s="149">
        <f t="shared" si="82"/>
        <v>49026</v>
      </c>
      <c r="V838" s="146">
        <f t="shared" si="83"/>
        <v>16.75</v>
      </c>
      <c r="W838" s="150">
        <f t="shared" si="84"/>
        <v>16.25</v>
      </c>
      <c r="X838" s="146">
        <f t="shared" si="81"/>
        <v>16.25</v>
      </c>
    </row>
    <row r="839" spans="1:24" ht="9.75" customHeight="1" x14ac:dyDescent="0.25">
      <c r="A839" s="288">
        <v>353</v>
      </c>
      <c r="B839" s="288"/>
      <c r="D839" s="258" t="s">
        <v>68</v>
      </c>
      <c r="E839" s="289">
        <v>37011</v>
      </c>
      <c r="F839" s="289"/>
      <c r="G839" s="289"/>
      <c r="H839" s="289"/>
      <c r="I839" s="290" t="s">
        <v>205</v>
      </c>
      <c r="J839" s="290"/>
      <c r="K839" s="290"/>
      <c r="L839" s="47">
        <v>33</v>
      </c>
      <c r="M839" s="262">
        <v>1099.8800000000001</v>
      </c>
      <c r="N839" s="47">
        <v>100</v>
      </c>
      <c r="O839" s="291">
        <v>524.95000000000005</v>
      </c>
      <c r="P839" s="291"/>
      <c r="Q839" s="291"/>
      <c r="R839" s="262">
        <v>33.33</v>
      </c>
      <c r="S839" s="262">
        <v>558.28</v>
      </c>
      <c r="U839" s="149">
        <f t="shared" si="82"/>
        <v>49056</v>
      </c>
      <c r="V839" s="146">
        <f t="shared" si="83"/>
        <v>16.666666666666668</v>
      </c>
      <c r="W839" s="150">
        <f t="shared" si="84"/>
        <v>16.333333333333332</v>
      </c>
      <c r="X839" s="146">
        <f t="shared" si="81"/>
        <v>16.333333333333332</v>
      </c>
    </row>
    <row r="840" spans="1:24" ht="9.75" customHeight="1" x14ac:dyDescent="0.25">
      <c r="A840" s="288">
        <v>358</v>
      </c>
      <c r="B840" s="288"/>
      <c r="D840" s="258" t="s">
        <v>68</v>
      </c>
      <c r="E840" s="289">
        <v>37042</v>
      </c>
      <c r="F840" s="289"/>
      <c r="G840" s="289"/>
      <c r="H840" s="289"/>
      <c r="I840" s="290" t="s">
        <v>205</v>
      </c>
      <c r="J840" s="290"/>
      <c r="K840" s="290"/>
      <c r="L840" s="47">
        <v>33</v>
      </c>
      <c r="M840" s="262">
        <v>941.52</v>
      </c>
      <c r="N840" s="47">
        <v>100</v>
      </c>
      <c r="O840" s="291">
        <v>446.97</v>
      </c>
      <c r="P840" s="291"/>
      <c r="Q840" s="291"/>
      <c r="R840" s="262">
        <v>28.53</v>
      </c>
      <c r="S840" s="262">
        <v>475.5</v>
      </c>
      <c r="U840" s="149">
        <f t="shared" si="82"/>
        <v>49087</v>
      </c>
      <c r="V840" s="146">
        <f t="shared" si="83"/>
        <v>16.583333333333332</v>
      </c>
      <c r="W840" s="150">
        <f t="shared" si="84"/>
        <v>16.416666666666668</v>
      </c>
      <c r="X840" s="146">
        <f t="shared" si="81"/>
        <v>16.416666666666668</v>
      </c>
    </row>
    <row r="841" spans="1:24" ht="9.75" customHeight="1" x14ac:dyDescent="0.25">
      <c r="A841" s="288">
        <v>361</v>
      </c>
      <c r="B841" s="288"/>
      <c r="D841" s="258" t="s">
        <v>68</v>
      </c>
      <c r="E841" s="289">
        <v>37072</v>
      </c>
      <c r="F841" s="289"/>
      <c r="G841" s="289"/>
      <c r="H841" s="289"/>
      <c r="I841" s="290" t="s">
        <v>205</v>
      </c>
      <c r="J841" s="290"/>
      <c r="K841" s="290"/>
      <c r="L841" s="47">
        <v>33</v>
      </c>
      <c r="M841" s="262">
        <v>2216.37</v>
      </c>
      <c r="N841" s="47">
        <v>100</v>
      </c>
      <c r="O841" s="291">
        <v>1046.58</v>
      </c>
      <c r="P841" s="291"/>
      <c r="Q841" s="291"/>
      <c r="R841" s="262">
        <v>67.16</v>
      </c>
      <c r="S841" s="262">
        <v>1113.74</v>
      </c>
      <c r="U841" s="149">
        <f t="shared" si="82"/>
        <v>49117</v>
      </c>
      <c r="V841" s="146">
        <f t="shared" si="83"/>
        <v>16.5</v>
      </c>
      <c r="W841" s="150">
        <f t="shared" si="84"/>
        <v>16.5</v>
      </c>
      <c r="X841" s="146">
        <f t="shared" si="81"/>
        <v>16.5</v>
      </c>
    </row>
    <row r="842" spans="1:24" ht="9.75" customHeight="1" x14ac:dyDescent="0.25">
      <c r="A842" s="288">
        <v>365</v>
      </c>
      <c r="B842" s="288"/>
      <c r="D842" s="258" t="s">
        <v>68</v>
      </c>
      <c r="E842" s="289">
        <v>37103</v>
      </c>
      <c r="F842" s="289"/>
      <c r="G842" s="289"/>
      <c r="H842" s="289"/>
      <c r="I842" s="290" t="s">
        <v>205</v>
      </c>
      <c r="J842" s="290"/>
      <c r="K842" s="290"/>
      <c r="L842" s="47">
        <v>33</v>
      </c>
      <c r="M842" s="262">
        <v>9023.6200000000008</v>
      </c>
      <c r="N842" s="47">
        <v>100</v>
      </c>
      <c r="O842" s="291">
        <v>4238.32</v>
      </c>
      <c r="P842" s="291"/>
      <c r="Q842" s="291"/>
      <c r="R842" s="262">
        <v>273.44</v>
      </c>
      <c r="S842" s="262">
        <v>4511.76</v>
      </c>
      <c r="U842" s="149">
        <f t="shared" si="82"/>
        <v>49148</v>
      </c>
      <c r="V842" s="146">
        <f t="shared" si="83"/>
        <v>16.416666666666668</v>
      </c>
      <c r="W842" s="150">
        <f t="shared" si="84"/>
        <v>16.583333333333332</v>
      </c>
      <c r="X842" s="146">
        <f t="shared" si="81"/>
        <v>16.583333333333332</v>
      </c>
    </row>
    <row r="843" spans="1:24" ht="9.75" customHeight="1" x14ac:dyDescent="0.25">
      <c r="A843" s="288">
        <v>369</v>
      </c>
      <c r="B843" s="288"/>
      <c r="D843" s="258" t="s">
        <v>68</v>
      </c>
      <c r="E843" s="289">
        <v>37134</v>
      </c>
      <c r="F843" s="289"/>
      <c r="G843" s="289"/>
      <c r="H843" s="289"/>
      <c r="I843" s="290" t="s">
        <v>205</v>
      </c>
      <c r="J843" s="290"/>
      <c r="K843" s="290"/>
      <c r="L843" s="47">
        <v>33</v>
      </c>
      <c r="M843" s="262">
        <v>1363.19</v>
      </c>
      <c r="N843" s="47">
        <v>100</v>
      </c>
      <c r="O843" s="291">
        <v>636.86</v>
      </c>
      <c r="P843" s="291"/>
      <c r="Q843" s="291"/>
      <c r="R843" s="262">
        <v>41.31</v>
      </c>
      <c r="S843" s="262">
        <v>678.17</v>
      </c>
      <c r="U843" s="149">
        <f t="shared" si="82"/>
        <v>49179</v>
      </c>
      <c r="V843" s="146">
        <f t="shared" si="83"/>
        <v>16.333333333333332</v>
      </c>
      <c r="W843" s="150">
        <f t="shared" si="84"/>
        <v>16.666666666666668</v>
      </c>
      <c r="X843" s="146">
        <f t="shared" si="81"/>
        <v>16.666666666666668</v>
      </c>
    </row>
    <row r="844" spans="1:24" ht="9.75" customHeight="1" x14ac:dyDescent="0.25">
      <c r="A844" s="288">
        <v>375</v>
      </c>
      <c r="B844" s="288"/>
      <c r="D844" s="258" t="s">
        <v>68</v>
      </c>
      <c r="E844" s="289">
        <v>37195</v>
      </c>
      <c r="F844" s="289"/>
      <c r="G844" s="289"/>
      <c r="H844" s="289"/>
      <c r="I844" s="290" t="s">
        <v>205</v>
      </c>
      <c r="J844" s="290"/>
      <c r="K844" s="290"/>
      <c r="L844" s="47">
        <v>33</v>
      </c>
      <c r="M844" s="262">
        <v>5479.36</v>
      </c>
      <c r="N844" s="47">
        <v>100</v>
      </c>
      <c r="O844" s="291">
        <v>2532.11</v>
      </c>
      <c r="P844" s="291"/>
      <c r="Q844" s="291"/>
      <c r="R844" s="262">
        <v>166.04</v>
      </c>
      <c r="S844" s="262">
        <v>2698.15</v>
      </c>
      <c r="U844" s="149">
        <f t="shared" si="82"/>
        <v>49240</v>
      </c>
      <c r="V844" s="146">
        <f t="shared" si="83"/>
        <v>16.166666666666668</v>
      </c>
      <c r="W844" s="150">
        <f t="shared" si="84"/>
        <v>16.833333333333332</v>
      </c>
      <c r="X844" s="146">
        <f t="shared" si="81"/>
        <v>16.833333333333332</v>
      </c>
    </row>
    <row r="845" spans="1:24" ht="9.75" customHeight="1" x14ac:dyDescent="0.25">
      <c r="A845" s="288">
        <v>380</v>
      </c>
      <c r="B845" s="288"/>
      <c r="D845" s="258" t="s">
        <v>68</v>
      </c>
      <c r="E845" s="289">
        <v>37225</v>
      </c>
      <c r="F845" s="289"/>
      <c r="G845" s="289"/>
      <c r="H845" s="289"/>
      <c r="I845" s="290" t="s">
        <v>205</v>
      </c>
      <c r="J845" s="290"/>
      <c r="K845" s="290"/>
      <c r="L845" s="47">
        <v>33</v>
      </c>
      <c r="M845" s="262">
        <v>1498.72</v>
      </c>
      <c r="N845" s="47">
        <v>100</v>
      </c>
      <c r="O845" s="291">
        <v>688.87</v>
      </c>
      <c r="P845" s="291"/>
      <c r="Q845" s="291"/>
      <c r="R845" s="262">
        <v>45.42</v>
      </c>
      <c r="S845" s="262">
        <v>734.29</v>
      </c>
      <c r="U845" s="149">
        <f t="shared" si="82"/>
        <v>49270</v>
      </c>
      <c r="V845" s="146">
        <f t="shared" si="83"/>
        <v>16.083333333333332</v>
      </c>
      <c r="W845" s="150">
        <f t="shared" si="84"/>
        <v>16.916666666666668</v>
      </c>
      <c r="X845" s="146">
        <f t="shared" si="81"/>
        <v>16.916666666666668</v>
      </c>
    </row>
    <row r="846" spans="1:24" ht="9.75" customHeight="1" x14ac:dyDescent="0.25">
      <c r="A846" s="288">
        <v>384</v>
      </c>
      <c r="B846" s="288"/>
      <c r="D846" s="258" t="s">
        <v>68</v>
      </c>
      <c r="E846" s="289">
        <v>37256</v>
      </c>
      <c r="F846" s="289"/>
      <c r="G846" s="289"/>
      <c r="H846" s="289"/>
      <c r="I846" s="290" t="s">
        <v>205</v>
      </c>
      <c r="J846" s="290"/>
      <c r="K846" s="290"/>
      <c r="L846" s="47">
        <v>33</v>
      </c>
      <c r="M846" s="262">
        <v>1172.77</v>
      </c>
      <c r="N846" s="47">
        <v>100</v>
      </c>
      <c r="O846" s="291">
        <v>536.05999999999995</v>
      </c>
      <c r="P846" s="291"/>
      <c r="Q846" s="291"/>
      <c r="R846" s="262">
        <v>35.54</v>
      </c>
      <c r="S846" s="262">
        <v>571.6</v>
      </c>
      <c r="U846" s="149">
        <f t="shared" si="82"/>
        <v>49301</v>
      </c>
      <c r="V846" s="146">
        <f t="shared" si="83"/>
        <v>16</v>
      </c>
      <c r="W846" s="150">
        <f t="shared" si="84"/>
        <v>17</v>
      </c>
      <c r="X846" s="146">
        <f t="shared" si="81"/>
        <v>17</v>
      </c>
    </row>
    <row r="847" spans="1:24" ht="9.75" customHeight="1" x14ac:dyDescent="0.25">
      <c r="A847" s="288">
        <v>388</v>
      </c>
      <c r="B847" s="288"/>
      <c r="D847" s="258" t="s">
        <v>68</v>
      </c>
      <c r="E847" s="289">
        <v>37144</v>
      </c>
      <c r="F847" s="289"/>
      <c r="G847" s="289"/>
      <c r="H847" s="289"/>
      <c r="I847" s="290" t="s">
        <v>205</v>
      </c>
      <c r="J847" s="290"/>
      <c r="K847" s="290"/>
      <c r="L847" s="47">
        <v>33</v>
      </c>
      <c r="M847" s="262">
        <v>928.13</v>
      </c>
      <c r="N847" s="47">
        <v>100</v>
      </c>
      <c r="O847" s="291">
        <v>431.33</v>
      </c>
      <c r="P847" s="291"/>
      <c r="Q847" s="291"/>
      <c r="R847" s="262">
        <v>28.13</v>
      </c>
      <c r="S847" s="262">
        <v>459.46000000000004</v>
      </c>
      <c r="U847" s="149">
        <f t="shared" si="82"/>
        <v>49189</v>
      </c>
      <c r="V847" s="146">
        <f t="shared" si="83"/>
        <v>16.308333333333334</v>
      </c>
      <c r="W847" s="150">
        <f t="shared" si="84"/>
        <v>16.691666666666666</v>
      </c>
      <c r="X847" s="146">
        <f t="shared" si="81"/>
        <v>16.691666666666666</v>
      </c>
    </row>
    <row r="848" spans="1:24" ht="9.75" customHeight="1" x14ac:dyDescent="0.25">
      <c r="A848" s="288">
        <v>389</v>
      </c>
      <c r="B848" s="288"/>
      <c r="D848" s="258" t="s">
        <v>68</v>
      </c>
      <c r="E848" s="289">
        <v>37145</v>
      </c>
      <c r="F848" s="289"/>
      <c r="G848" s="289"/>
      <c r="H848" s="289"/>
      <c r="I848" s="290" t="s">
        <v>205</v>
      </c>
      <c r="J848" s="290"/>
      <c r="K848" s="290"/>
      <c r="L848" s="47">
        <v>33</v>
      </c>
      <c r="M848" s="262">
        <v>1856.26</v>
      </c>
      <c r="N848" s="47">
        <v>100</v>
      </c>
      <c r="O848" s="291">
        <v>862.5</v>
      </c>
      <c r="P848" s="291"/>
      <c r="Q848" s="291"/>
      <c r="R848" s="262">
        <v>56.25</v>
      </c>
      <c r="S848" s="262">
        <v>918.75</v>
      </c>
      <c r="U848" s="149">
        <f t="shared" si="82"/>
        <v>49190</v>
      </c>
      <c r="V848" s="146">
        <f t="shared" si="83"/>
        <v>16.305555555555557</v>
      </c>
      <c r="W848" s="150">
        <f t="shared" si="84"/>
        <v>16.694444444444443</v>
      </c>
      <c r="X848" s="146">
        <f t="shared" si="81"/>
        <v>16.694444444444443</v>
      </c>
    </row>
    <row r="849" spans="1:24" ht="9.75" customHeight="1" x14ac:dyDescent="0.25">
      <c r="A849" s="288">
        <v>393</v>
      </c>
      <c r="B849" s="288"/>
      <c r="D849" s="258" t="s">
        <v>68</v>
      </c>
      <c r="E849" s="289">
        <v>37287</v>
      </c>
      <c r="F849" s="289"/>
      <c r="G849" s="289"/>
      <c r="H849" s="289"/>
      <c r="I849" s="290" t="s">
        <v>205</v>
      </c>
      <c r="J849" s="290"/>
      <c r="K849" s="290"/>
      <c r="L849" s="47">
        <v>33</v>
      </c>
      <c r="M849" s="262">
        <v>462.25</v>
      </c>
      <c r="N849" s="47">
        <v>100</v>
      </c>
      <c r="O849" s="291">
        <v>210.15</v>
      </c>
      <c r="P849" s="291"/>
      <c r="Q849" s="291"/>
      <c r="R849" s="262">
        <v>14.01</v>
      </c>
      <c r="S849" s="262">
        <v>224.16</v>
      </c>
      <c r="U849" s="149">
        <f t="shared" si="82"/>
        <v>49332</v>
      </c>
      <c r="V849" s="146">
        <f t="shared" si="83"/>
        <v>15.916666666666666</v>
      </c>
      <c r="W849" s="150">
        <f t="shared" si="84"/>
        <v>17.083333333333336</v>
      </c>
      <c r="X849" s="146">
        <f t="shared" si="81"/>
        <v>17.083333333333336</v>
      </c>
    </row>
    <row r="850" spans="1:24" ht="9.75" customHeight="1" x14ac:dyDescent="0.25">
      <c r="A850" s="288">
        <v>397</v>
      </c>
      <c r="B850" s="288"/>
      <c r="D850" s="258" t="s">
        <v>68</v>
      </c>
      <c r="E850" s="289">
        <v>37315</v>
      </c>
      <c r="F850" s="289"/>
      <c r="G850" s="289"/>
      <c r="H850" s="289"/>
      <c r="I850" s="290" t="s">
        <v>205</v>
      </c>
      <c r="J850" s="290"/>
      <c r="K850" s="290"/>
      <c r="L850" s="47">
        <v>33</v>
      </c>
      <c r="M850" s="262">
        <v>285.58999999999997</v>
      </c>
      <c r="N850" s="47">
        <v>100</v>
      </c>
      <c r="O850" s="291">
        <v>129.03</v>
      </c>
      <c r="P850" s="291"/>
      <c r="Q850" s="291"/>
      <c r="R850" s="262">
        <v>8.65</v>
      </c>
      <c r="S850" s="262">
        <v>137.68</v>
      </c>
      <c r="U850" s="149">
        <f t="shared" si="82"/>
        <v>49360</v>
      </c>
      <c r="V850" s="146">
        <f t="shared" si="83"/>
        <v>15.83611111111111</v>
      </c>
      <c r="W850" s="150">
        <f t="shared" si="84"/>
        <v>17.163888888888891</v>
      </c>
      <c r="X850" s="146">
        <f t="shared" si="81"/>
        <v>17.163888888888891</v>
      </c>
    </row>
    <row r="851" spans="1:24" ht="9.75" customHeight="1" x14ac:dyDescent="0.25">
      <c r="A851" s="288">
        <v>399</v>
      </c>
      <c r="B851" s="288"/>
      <c r="D851" s="258" t="s">
        <v>68</v>
      </c>
      <c r="E851" s="289">
        <v>37346</v>
      </c>
      <c r="F851" s="289"/>
      <c r="G851" s="289"/>
      <c r="H851" s="289"/>
      <c r="I851" s="290" t="s">
        <v>205</v>
      </c>
      <c r="J851" s="290"/>
      <c r="K851" s="290"/>
      <c r="L851" s="47">
        <v>33</v>
      </c>
      <c r="M851" s="262">
        <v>770.55000000000007</v>
      </c>
      <c r="N851" s="47">
        <v>100</v>
      </c>
      <c r="O851" s="291">
        <v>346.36</v>
      </c>
      <c r="P851" s="291"/>
      <c r="Q851" s="291"/>
      <c r="R851" s="262">
        <v>23.35</v>
      </c>
      <c r="S851" s="262">
        <v>369.71</v>
      </c>
      <c r="U851" s="149">
        <f t="shared" si="82"/>
        <v>49391</v>
      </c>
      <c r="V851" s="146">
        <f t="shared" si="83"/>
        <v>15.75</v>
      </c>
      <c r="W851" s="150">
        <f t="shared" si="84"/>
        <v>17.25</v>
      </c>
      <c r="X851" s="146">
        <f t="shared" si="81"/>
        <v>17.25</v>
      </c>
    </row>
    <row r="852" spans="1:24" ht="9.75" customHeight="1" x14ac:dyDescent="0.25">
      <c r="A852" s="288">
        <v>404</v>
      </c>
      <c r="B852" s="288"/>
      <c r="D852" s="258" t="s">
        <v>68</v>
      </c>
      <c r="E852" s="289">
        <v>37376</v>
      </c>
      <c r="F852" s="289"/>
      <c r="G852" s="289"/>
      <c r="H852" s="289"/>
      <c r="I852" s="290" t="s">
        <v>205</v>
      </c>
      <c r="J852" s="290"/>
      <c r="K852" s="290"/>
      <c r="L852" s="47">
        <v>33</v>
      </c>
      <c r="M852" s="262">
        <v>762.30000000000007</v>
      </c>
      <c r="N852" s="47">
        <v>100</v>
      </c>
      <c r="O852" s="291">
        <v>340.73</v>
      </c>
      <c r="P852" s="291"/>
      <c r="Q852" s="291"/>
      <c r="R852" s="262">
        <v>23.1</v>
      </c>
      <c r="S852" s="262">
        <v>363.83</v>
      </c>
      <c r="U852" s="149">
        <f t="shared" si="82"/>
        <v>49421</v>
      </c>
      <c r="V852" s="146">
        <f t="shared" si="83"/>
        <v>15.666666666666666</v>
      </c>
      <c r="W852" s="150">
        <f t="shared" si="84"/>
        <v>17.333333333333336</v>
      </c>
      <c r="X852" s="146">
        <f t="shared" si="81"/>
        <v>17.333333333333336</v>
      </c>
    </row>
    <row r="853" spans="1:24" ht="9.75" customHeight="1" x14ac:dyDescent="0.25">
      <c r="A853" s="288">
        <v>409</v>
      </c>
      <c r="B853" s="288"/>
      <c r="D853" s="258" t="s">
        <v>68</v>
      </c>
      <c r="E853" s="289">
        <v>37407</v>
      </c>
      <c r="F853" s="289"/>
      <c r="G853" s="289"/>
      <c r="H853" s="289"/>
      <c r="I853" s="290" t="s">
        <v>205</v>
      </c>
      <c r="J853" s="290"/>
      <c r="K853" s="290"/>
      <c r="L853" s="47">
        <v>33</v>
      </c>
      <c r="M853" s="262">
        <v>1177.5</v>
      </c>
      <c r="N853" s="47">
        <v>100</v>
      </c>
      <c r="O853" s="291">
        <v>523.30999999999995</v>
      </c>
      <c r="P853" s="291"/>
      <c r="Q853" s="291"/>
      <c r="R853" s="262">
        <v>35.68</v>
      </c>
      <c r="S853" s="262">
        <v>558.99</v>
      </c>
      <c r="U853" s="149">
        <f t="shared" si="82"/>
        <v>49452</v>
      </c>
      <c r="V853" s="146">
        <f t="shared" si="83"/>
        <v>15.583333333333334</v>
      </c>
      <c r="W853" s="150">
        <f t="shared" si="84"/>
        <v>17.416666666666664</v>
      </c>
      <c r="X853" s="146">
        <f t="shared" si="81"/>
        <v>17.416666666666664</v>
      </c>
    </row>
    <row r="854" spans="1:24" ht="9.75" customHeight="1" x14ac:dyDescent="0.25">
      <c r="A854" s="288">
        <v>412</v>
      </c>
      <c r="B854" s="288"/>
      <c r="D854" s="258" t="s">
        <v>68</v>
      </c>
      <c r="E854" s="289">
        <v>37437</v>
      </c>
      <c r="F854" s="289"/>
      <c r="G854" s="289"/>
      <c r="H854" s="289"/>
      <c r="I854" s="290" t="s">
        <v>205</v>
      </c>
      <c r="J854" s="290"/>
      <c r="K854" s="290"/>
      <c r="L854" s="47">
        <v>33</v>
      </c>
      <c r="M854" s="262">
        <v>1172.5899999999999</v>
      </c>
      <c r="N854" s="47">
        <v>100</v>
      </c>
      <c r="O854" s="291">
        <v>518.15</v>
      </c>
      <c r="P854" s="291"/>
      <c r="Q854" s="291"/>
      <c r="R854" s="262">
        <v>35.53</v>
      </c>
      <c r="S854" s="262">
        <v>553.67999999999995</v>
      </c>
      <c r="U854" s="149">
        <f t="shared" si="82"/>
        <v>49482</v>
      </c>
      <c r="V854" s="146">
        <f t="shared" si="83"/>
        <v>15.5</v>
      </c>
      <c r="W854" s="150">
        <f t="shared" si="84"/>
        <v>17.5</v>
      </c>
      <c r="X854" s="146">
        <f t="shared" si="81"/>
        <v>17.5</v>
      </c>
    </row>
    <row r="855" spans="1:24" ht="9.75" customHeight="1" x14ac:dyDescent="0.25">
      <c r="A855" s="288">
        <v>415</v>
      </c>
      <c r="B855" s="288"/>
      <c r="D855" s="258" t="s">
        <v>68</v>
      </c>
      <c r="E855" s="289">
        <v>37468</v>
      </c>
      <c r="F855" s="289"/>
      <c r="G855" s="289"/>
      <c r="H855" s="289"/>
      <c r="I855" s="290" t="s">
        <v>205</v>
      </c>
      <c r="J855" s="290"/>
      <c r="K855" s="290"/>
      <c r="L855" s="47">
        <v>33</v>
      </c>
      <c r="M855" s="262">
        <v>8148.29</v>
      </c>
      <c r="N855" s="47">
        <v>100</v>
      </c>
      <c r="O855" s="291">
        <v>3580.34</v>
      </c>
      <c r="P855" s="291"/>
      <c r="Q855" s="291"/>
      <c r="R855" s="262">
        <v>246.92000000000002</v>
      </c>
      <c r="S855" s="262">
        <v>3827.26</v>
      </c>
      <c r="U855" s="149">
        <f t="shared" si="82"/>
        <v>49513</v>
      </c>
      <c r="V855" s="146">
        <f t="shared" si="83"/>
        <v>15.416666666666666</v>
      </c>
      <c r="W855" s="150">
        <f t="shared" si="84"/>
        <v>17.583333333333336</v>
      </c>
      <c r="X855" s="146">
        <f t="shared" ref="X855:X886" si="85">IF(W855=0,0,W855)</f>
        <v>17.583333333333336</v>
      </c>
    </row>
    <row r="856" spans="1:24" ht="9.75" customHeight="1" x14ac:dyDescent="0.25">
      <c r="A856" s="288">
        <v>436</v>
      </c>
      <c r="B856" s="288"/>
      <c r="D856" s="258" t="s">
        <v>68</v>
      </c>
      <c r="E856" s="289">
        <v>37590</v>
      </c>
      <c r="F856" s="289"/>
      <c r="G856" s="289"/>
      <c r="H856" s="289"/>
      <c r="I856" s="290" t="s">
        <v>205</v>
      </c>
      <c r="J856" s="290"/>
      <c r="K856" s="290"/>
      <c r="L856" s="47">
        <v>33</v>
      </c>
      <c r="M856" s="262">
        <v>6640.35</v>
      </c>
      <c r="N856" s="47">
        <v>100</v>
      </c>
      <c r="O856" s="291">
        <v>2850.62</v>
      </c>
      <c r="P856" s="291"/>
      <c r="Q856" s="291"/>
      <c r="R856" s="262">
        <v>201.22</v>
      </c>
      <c r="S856" s="262">
        <v>3051.84</v>
      </c>
      <c r="U856" s="149">
        <f t="shared" si="82"/>
        <v>49635</v>
      </c>
      <c r="V856" s="146">
        <f t="shared" si="83"/>
        <v>15.083333333333334</v>
      </c>
      <c r="W856" s="150">
        <f t="shared" si="84"/>
        <v>17.916666666666664</v>
      </c>
      <c r="X856" s="146">
        <f t="shared" si="85"/>
        <v>17.916666666666664</v>
      </c>
    </row>
    <row r="857" spans="1:24" ht="9.75" customHeight="1" x14ac:dyDescent="0.25">
      <c r="A857" s="288">
        <v>437</v>
      </c>
      <c r="B857" s="288"/>
      <c r="D857" s="258" t="s">
        <v>68</v>
      </c>
      <c r="E857" s="289">
        <v>37621</v>
      </c>
      <c r="F857" s="289"/>
      <c r="G857" s="289"/>
      <c r="H857" s="289"/>
      <c r="I857" s="290" t="s">
        <v>205</v>
      </c>
      <c r="J857" s="290"/>
      <c r="K857" s="290"/>
      <c r="L857" s="47">
        <v>33</v>
      </c>
      <c r="M857" s="262">
        <v>1060.55</v>
      </c>
      <c r="N857" s="47">
        <v>100</v>
      </c>
      <c r="O857" s="291">
        <v>452.64</v>
      </c>
      <c r="P857" s="291"/>
      <c r="Q857" s="291"/>
      <c r="R857" s="262">
        <v>32.14</v>
      </c>
      <c r="S857" s="262">
        <v>484.78000000000003</v>
      </c>
      <c r="U857" s="149">
        <f t="shared" si="82"/>
        <v>49666</v>
      </c>
      <c r="V857" s="146">
        <f t="shared" si="83"/>
        <v>15</v>
      </c>
      <c r="W857" s="150">
        <f t="shared" si="84"/>
        <v>18</v>
      </c>
      <c r="X857" s="146">
        <f t="shared" si="85"/>
        <v>18</v>
      </c>
    </row>
    <row r="858" spans="1:24" ht="9.75" customHeight="1" x14ac:dyDescent="0.25">
      <c r="A858" s="288">
        <v>444</v>
      </c>
      <c r="B858" s="288"/>
      <c r="D858" s="258" t="s">
        <v>68</v>
      </c>
      <c r="E858" s="289">
        <v>37652</v>
      </c>
      <c r="F858" s="289"/>
      <c r="G858" s="289"/>
      <c r="H858" s="289"/>
      <c r="I858" s="290" t="s">
        <v>205</v>
      </c>
      <c r="J858" s="290"/>
      <c r="K858" s="290"/>
      <c r="L858" s="47">
        <v>33</v>
      </c>
      <c r="M858" s="262">
        <v>312.68</v>
      </c>
      <c r="N858" s="47">
        <v>100</v>
      </c>
      <c r="O858" s="291">
        <v>132.72</v>
      </c>
      <c r="P858" s="291"/>
      <c r="Q858" s="291"/>
      <c r="R858" s="262">
        <v>9.48</v>
      </c>
      <c r="S858" s="262">
        <v>142.19999999999999</v>
      </c>
      <c r="U858" s="149">
        <f t="shared" si="82"/>
        <v>49697</v>
      </c>
      <c r="V858" s="146">
        <f t="shared" si="83"/>
        <v>14.916666666666666</v>
      </c>
      <c r="W858" s="150">
        <f t="shared" si="84"/>
        <v>18.083333333333336</v>
      </c>
      <c r="X858" s="146">
        <f t="shared" si="85"/>
        <v>18.083333333333336</v>
      </c>
    </row>
    <row r="859" spans="1:24" ht="9.75" customHeight="1" x14ac:dyDescent="0.25">
      <c r="A859" s="288">
        <v>445</v>
      </c>
      <c r="B859" s="288"/>
      <c r="D859" s="258" t="s">
        <v>68</v>
      </c>
      <c r="E859" s="289">
        <v>37652</v>
      </c>
      <c r="F859" s="289"/>
      <c r="G859" s="289"/>
      <c r="H859" s="289"/>
      <c r="I859" s="290" t="s">
        <v>205</v>
      </c>
      <c r="J859" s="290"/>
      <c r="K859" s="290"/>
      <c r="L859" s="47">
        <v>33</v>
      </c>
      <c r="M859" s="262">
        <v>1245</v>
      </c>
      <c r="N859" s="47">
        <v>100</v>
      </c>
      <c r="O859" s="291">
        <v>528.22</v>
      </c>
      <c r="P859" s="291"/>
      <c r="Q859" s="291"/>
      <c r="R859" s="262">
        <v>37.729999999999997</v>
      </c>
      <c r="S859" s="262">
        <v>565.95000000000005</v>
      </c>
      <c r="U859" s="149">
        <f t="shared" si="82"/>
        <v>49697</v>
      </c>
      <c r="V859" s="146">
        <f t="shared" si="83"/>
        <v>14.916666666666666</v>
      </c>
      <c r="W859" s="150">
        <f t="shared" si="84"/>
        <v>18.083333333333336</v>
      </c>
      <c r="X859" s="146">
        <f t="shared" si="85"/>
        <v>18.083333333333336</v>
      </c>
    </row>
    <row r="860" spans="1:24" ht="9.75" customHeight="1" x14ac:dyDescent="0.25">
      <c r="A860" s="288">
        <v>450</v>
      </c>
      <c r="B860" s="288"/>
      <c r="D860" s="258" t="s">
        <v>68</v>
      </c>
      <c r="E860" s="289">
        <v>37680</v>
      </c>
      <c r="F860" s="289"/>
      <c r="G860" s="289"/>
      <c r="H860" s="289"/>
      <c r="I860" s="290" t="s">
        <v>205</v>
      </c>
      <c r="J860" s="290"/>
      <c r="K860" s="290"/>
      <c r="L860" s="47">
        <v>33</v>
      </c>
      <c r="M860" s="262">
        <v>327.39999999999998</v>
      </c>
      <c r="N860" s="47">
        <v>100</v>
      </c>
      <c r="O860" s="291">
        <v>138.05000000000001</v>
      </c>
      <c r="P860" s="291"/>
      <c r="Q860" s="291"/>
      <c r="R860" s="262">
        <v>9.92</v>
      </c>
      <c r="S860" s="262">
        <v>147.97</v>
      </c>
      <c r="U860" s="149">
        <f t="shared" si="82"/>
        <v>49725</v>
      </c>
      <c r="V860" s="146">
        <f t="shared" si="83"/>
        <v>14.83611111111111</v>
      </c>
      <c r="W860" s="150">
        <f t="shared" si="84"/>
        <v>18.163888888888891</v>
      </c>
      <c r="X860" s="146">
        <f t="shared" si="85"/>
        <v>18.163888888888891</v>
      </c>
    </row>
    <row r="861" spans="1:24" ht="9.75" customHeight="1" x14ac:dyDescent="0.25">
      <c r="A861" s="288">
        <v>451</v>
      </c>
      <c r="B861" s="288"/>
      <c r="D861" s="258" t="s">
        <v>68</v>
      </c>
      <c r="E861" s="289">
        <v>37680</v>
      </c>
      <c r="F861" s="289"/>
      <c r="G861" s="289"/>
      <c r="H861" s="289"/>
      <c r="I861" s="290" t="s">
        <v>205</v>
      </c>
      <c r="J861" s="290"/>
      <c r="K861" s="290"/>
      <c r="L861" s="47">
        <v>33</v>
      </c>
      <c r="M861" s="262">
        <v>577.5</v>
      </c>
      <c r="N861" s="47">
        <v>100</v>
      </c>
      <c r="O861" s="291">
        <v>243.54</v>
      </c>
      <c r="P861" s="291"/>
      <c r="Q861" s="291"/>
      <c r="R861" s="262">
        <v>17.5</v>
      </c>
      <c r="S861" s="262">
        <v>261.04000000000002</v>
      </c>
      <c r="U861" s="149">
        <f t="shared" si="82"/>
        <v>49725</v>
      </c>
      <c r="V861" s="146">
        <f t="shared" si="83"/>
        <v>14.83611111111111</v>
      </c>
      <c r="W861" s="150">
        <f t="shared" si="84"/>
        <v>18.163888888888891</v>
      </c>
      <c r="X861" s="146">
        <f t="shared" si="85"/>
        <v>18.163888888888891</v>
      </c>
    </row>
    <row r="862" spans="1:24" ht="9.75" customHeight="1" x14ac:dyDescent="0.25">
      <c r="A862" s="288">
        <v>459</v>
      </c>
      <c r="B862" s="288"/>
      <c r="D862" s="258" t="s">
        <v>68</v>
      </c>
      <c r="E862" s="289">
        <v>37711</v>
      </c>
      <c r="F862" s="289"/>
      <c r="G862" s="289"/>
      <c r="H862" s="289"/>
      <c r="I862" s="290" t="s">
        <v>205</v>
      </c>
      <c r="J862" s="290"/>
      <c r="K862" s="290"/>
      <c r="L862" s="47">
        <v>33</v>
      </c>
      <c r="M862" s="262">
        <v>40.39</v>
      </c>
      <c r="N862" s="47">
        <v>100</v>
      </c>
      <c r="O862" s="291">
        <v>16.88</v>
      </c>
      <c r="P862" s="291"/>
      <c r="Q862" s="291"/>
      <c r="R862" s="262">
        <v>1.22</v>
      </c>
      <c r="S862" s="262">
        <v>18.100000000000001</v>
      </c>
      <c r="U862" s="149">
        <f t="shared" si="82"/>
        <v>49756</v>
      </c>
      <c r="V862" s="146">
        <f t="shared" si="83"/>
        <v>14.75</v>
      </c>
      <c r="W862" s="150">
        <f t="shared" si="84"/>
        <v>18.25</v>
      </c>
      <c r="X862" s="146">
        <f t="shared" si="85"/>
        <v>18.25</v>
      </c>
    </row>
    <row r="863" spans="1:24" ht="9.75" customHeight="1" x14ac:dyDescent="0.25">
      <c r="A863" s="288">
        <v>460</v>
      </c>
      <c r="B863" s="288"/>
      <c r="D863" s="258" t="s">
        <v>68</v>
      </c>
      <c r="E863" s="289">
        <v>37711</v>
      </c>
      <c r="F863" s="289"/>
      <c r="G863" s="289"/>
      <c r="H863" s="289"/>
      <c r="I863" s="290" t="s">
        <v>205</v>
      </c>
      <c r="J863" s="290"/>
      <c r="K863" s="290"/>
      <c r="L863" s="47">
        <v>33</v>
      </c>
      <c r="M863" s="262">
        <v>952.5</v>
      </c>
      <c r="N863" s="47">
        <v>100</v>
      </c>
      <c r="O863" s="291">
        <v>399.23</v>
      </c>
      <c r="P863" s="291"/>
      <c r="Q863" s="291"/>
      <c r="R863" s="262">
        <v>28.86</v>
      </c>
      <c r="S863" s="262">
        <v>428.09000000000003</v>
      </c>
      <c r="U863" s="149">
        <f t="shared" si="82"/>
        <v>49756</v>
      </c>
      <c r="V863" s="146">
        <f t="shared" si="83"/>
        <v>14.75</v>
      </c>
      <c r="W863" s="150">
        <f t="shared" si="84"/>
        <v>18.25</v>
      </c>
      <c r="X863" s="146">
        <f t="shared" si="85"/>
        <v>18.25</v>
      </c>
    </row>
    <row r="864" spans="1:24" ht="9.75" customHeight="1" x14ac:dyDescent="0.25">
      <c r="A864" s="288">
        <v>468</v>
      </c>
      <c r="B864" s="288"/>
      <c r="D864" s="258" t="s">
        <v>68</v>
      </c>
      <c r="E864" s="289">
        <v>37741</v>
      </c>
      <c r="F864" s="289"/>
      <c r="G864" s="289"/>
      <c r="H864" s="289"/>
      <c r="I864" s="290" t="s">
        <v>205</v>
      </c>
      <c r="J864" s="290"/>
      <c r="K864" s="290"/>
      <c r="L864" s="47">
        <v>33</v>
      </c>
      <c r="M864" s="262">
        <v>169.56</v>
      </c>
      <c r="N864" s="47">
        <v>100</v>
      </c>
      <c r="O864" s="291">
        <v>70.67</v>
      </c>
      <c r="P864" s="291"/>
      <c r="Q864" s="291"/>
      <c r="R864" s="262">
        <v>5.14</v>
      </c>
      <c r="S864" s="262">
        <v>75.81</v>
      </c>
      <c r="U864" s="149">
        <f t="shared" si="82"/>
        <v>49786</v>
      </c>
      <c r="V864" s="146">
        <f t="shared" si="83"/>
        <v>14.666666666666666</v>
      </c>
      <c r="W864" s="150">
        <f t="shared" si="84"/>
        <v>18.333333333333336</v>
      </c>
      <c r="X864" s="146">
        <f t="shared" si="85"/>
        <v>18.333333333333336</v>
      </c>
    </row>
    <row r="865" spans="1:24" ht="9.75" customHeight="1" x14ac:dyDescent="0.25">
      <c r="A865" s="288">
        <v>469</v>
      </c>
      <c r="B865" s="288"/>
      <c r="D865" s="258" t="s">
        <v>68</v>
      </c>
      <c r="E865" s="289">
        <v>37741</v>
      </c>
      <c r="F865" s="289"/>
      <c r="G865" s="289"/>
      <c r="H865" s="289"/>
      <c r="I865" s="290" t="s">
        <v>205</v>
      </c>
      <c r="J865" s="290"/>
      <c r="K865" s="290"/>
      <c r="L865" s="47">
        <v>33</v>
      </c>
      <c r="M865" s="262">
        <v>1590</v>
      </c>
      <c r="N865" s="47">
        <v>100</v>
      </c>
      <c r="O865" s="291">
        <v>662.48</v>
      </c>
      <c r="P865" s="291"/>
      <c r="Q865" s="291"/>
      <c r="R865" s="262">
        <v>48.18</v>
      </c>
      <c r="S865" s="262">
        <v>710.66</v>
      </c>
      <c r="U865" s="149">
        <f t="shared" si="82"/>
        <v>49786</v>
      </c>
      <c r="V865" s="146">
        <f t="shared" si="83"/>
        <v>14.666666666666666</v>
      </c>
      <c r="W865" s="150">
        <f t="shared" si="84"/>
        <v>18.333333333333336</v>
      </c>
      <c r="X865" s="146">
        <f t="shared" si="85"/>
        <v>18.333333333333336</v>
      </c>
    </row>
    <row r="866" spans="1:24" ht="9.75" customHeight="1" x14ac:dyDescent="0.25">
      <c r="A866" s="288">
        <v>475</v>
      </c>
      <c r="B866" s="288"/>
      <c r="D866" s="258" t="s">
        <v>68</v>
      </c>
      <c r="E866" s="289">
        <v>37772</v>
      </c>
      <c r="F866" s="289"/>
      <c r="G866" s="289"/>
      <c r="H866" s="289"/>
      <c r="I866" s="290" t="s">
        <v>205</v>
      </c>
      <c r="J866" s="290"/>
      <c r="K866" s="290"/>
      <c r="L866" s="47">
        <v>33</v>
      </c>
      <c r="M866" s="262">
        <v>2426.1799999999998</v>
      </c>
      <c r="N866" s="47">
        <v>100</v>
      </c>
      <c r="O866" s="291">
        <v>1004.77</v>
      </c>
      <c r="P866" s="291"/>
      <c r="Q866" s="291"/>
      <c r="R866" s="262">
        <v>73.52</v>
      </c>
      <c r="S866" s="262">
        <v>1078.29</v>
      </c>
      <c r="U866" s="149">
        <f t="shared" si="82"/>
        <v>49817</v>
      </c>
      <c r="V866" s="146">
        <f t="shared" si="83"/>
        <v>14.583333333333334</v>
      </c>
      <c r="W866" s="150">
        <f t="shared" si="84"/>
        <v>18.416666666666664</v>
      </c>
      <c r="X866" s="146">
        <f t="shared" si="85"/>
        <v>18.416666666666664</v>
      </c>
    </row>
    <row r="867" spans="1:24" ht="9.75" customHeight="1" x14ac:dyDescent="0.25">
      <c r="A867" s="288">
        <v>476</v>
      </c>
      <c r="B867" s="288"/>
      <c r="D867" s="258" t="s">
        <v>68</v>
      </c>
      <c r="E867" s="289">
        <v>37772</v>
      </c>
      <c r="F867" s="289"/>
      <c r="G867" s="289"/>
      <c r="H867" s="289"/>
      <c r="I867" s="290" t="s">
        <v>205</v>
      </c>
      <c r="J867" s="290"/>
      <c r="K867" s="290"/>
      <c r="L867" s="47">
        <v>33</v>
      </c>
      <c r="M867" s="262">
        <v>1762.5</v>
      </c>
      <c r="N867" s="47">
        <v>100</v>
      </c>
      <c r="O867" s="291">
        <v>729.94</v>
      </c>
      <c r="P867" s="291"/>
      <c r="Q867" s="291"/>
      <c r="R867" s="262">
        <v>53.410000000000004</v>
      </c>
      <c r="S867" s="262">
        <v>783.35</v>
      </c>
      <c r="U867" s="149">
        <f t="shared" si="82"/>
        <v>49817</v>
      </c>
      <c r="V867" s="146">
        <f t="shared" si="83"/>
        <v>14.583333333333334</v>
      </c>
      <c r="W867" s="150">
        <f t="shared" si="84"/>
        <v>18.416666666666664</v>
      </c>
      <c r="X867" s="146">
        <f t="shared" si="85"/>
        <v>18.416666666666664</v>
      </c>
    </row>
    <row r="868" spans="1:24" ht="9.75" customHeight="1" x14ac:dyDescent="0.25">
      <c r="A868" s="288">
        <v>481</v>
      </c>
      <c r="B868" s="288"/>
      <c r="D868" s="258" t="s">
        <v>68</v>
      </c>
      <c r="E868" s="289">
        <v>37788</v>
      </c>
      <c r="F868" s="289"/>
      <c r="G868" s="289"/>
      <c r="H868" s="289"/>
      <c r="I868" s="290" t="s">
        <v>205</v>
      </c>
      <c r="J868" s="290"/>
      <c r="K868" s="290"/>
      <c r="L868" s="47">
        <v>33</v>
      </c>
      <c r="M868" s="262">
        <v>12110.32</v>
      </c>
      <c r="N868" s="47">
        <v>100</v>
      </c>
      <c r="O868" s="291">
        <v>4984.8100000000004</v>
      </c>
      <c r="P868" s="291"/>
      <c r="Q868" s="291"/>
      <c r="R868" s="262">
        <v>366.98</v>
      </c>
      <c r="S868" s="262">
        <v>5351.79</v>
      </c>
      <c r="U868" s="149">
        <f t="shared" si="82"/>
        <v>49833</v>
      </c>
      <c r="V868" s="146">
        <f t="shared" si="83"/>
        <v>14.541666666666666</v>
      </c>
      <c r="W868" s="150">
        <f t="shared" si="84"/>
        <v>18.458333333333336</v>
      </c>
      <c r="X868" s="146">
        <f t="shared" si="85"/>
        <v>18.458333333333336</v>
      </c>
    </row>
    <row r="869" spans="1:24" ht="9.75" customHeight="1" x14ac:dyDescent="0.25">
      <c r="A869" s="288">
        <v>482</v>
      </c>
      <c r="B869" s="288"/>
      <c r="D869" s="258" t="s">
        <v>68</v>
      </c>
      <c r="E869" s="289">
        <v>37802</v>
      </c>
      <c r="F869" s="289"/>
      <c r="G869" s="289"/>
      <c r="H869" s="289"/>
      <c r="I869" s="290" t="s">
        <v>205</v>
      </c>
      <c r="J869" s="290"/>
      <c r="K869" s="290"/>
      <c r="L869" s="47">
        <v>33</v>
      </c>
      <c r="M869" s="262">
        <v>270.44</v>
      </c>
      <c r="N869" s="47">
        <v>100</v>
      </c>
      <c r="O869" s="291">
        <v>111.38</v>
      </c>
      <c r="P869" s="291"/>
      <c r="Q869" s="291"/>
      <c r="R869" s="262">
        <v>8.1999999999999993</v>
      </c>
      <c r="S869" s="262">
        <v>119.58</v>
      </c>
      <c r="U869" s="149">
        <f t="shared" si="82"/>
        <v>49847</v>
      </c>
      <c r="V869" s="146">
        <f t="shared" si="83"/>
        <v>14.5</v>
      </c>
      <c r="W869" s="150">
        <f t="shared" si="84"/>
        <v>18.5</v>
      </c>
      <c r="X869" s="146">
        <f t="shared" si="85"/>
        <v>18.5</v>
      </c>
    </row>
    <row r="870" spans="1:24" ht="9.75" customHeight="1" x14ac:dyDescent="0.25">
      <c r="A870" s="288">
        <v>483</v>
      </c>
      <c r="B870" s="288"/>
      <c r="D870" s="258" t="s">
        <v>68</v>
      </c>
      <c r="E870" s="289">
        <v>37802</v>
      </c>
      <c r="F870" s="289"/>
      <c r="G870" s="289"/>
      <c r="H870" s="289"/>
      <c r="I870" s="290" t="s">
        <v>205</v>
      </c>
      <c r="J870" s="290"/>
      <c r="K870" s="290"/>
      <c r="L870" s="47">
        <v>33</v>
      </c>
      <c r="M870" s="262">
        <v>1942.5</v>
      </c>
      <c r="N870" s="47">
        <v>100</v>
      </c>
      <c r="O870" s="291">
        <v>799.52</v>
      </c>
      <c r="P870" s="291"/>
      <c r="Q870" s="291"/>
      <c r="R870" s="262">
        <v>58.86</v>
      </c>
      <c r="S870" s="262">
        <v>858.38</v>
      </c>
      <c r="U870" s="149">
        <f t="shared" si="82"/>
        <v>49847</v>
      </c>
      <c r="V870" s="146">
        <f t="shared" si="83"/>
        <v>14.5</v>
      </c>
      <c r="W870" s="150">
        <f t="shared" si="84"/>
        <v>18.5</v>
      </c>
      <c r="X870" s="146">
        <f t="shared" si="85"/>
        <v>18.5</v>
      </c>
    </row>
    <row r="871" spans="1:24" ht="9.75" customHeight="1" x14ac:dyDescent="0.25">
      <c r="A871" s="288">
        <v>490</v>
      </c>
      <c r="B871" s="288"/>
      <c r="D871" s="258" t="s">
        <v>68</v>
      </c>
      <c r="E871" s="289">
        <v>37833</v>
      </c>
      <c r="F871" s="289"/>
      <c r="G871" s="289"/>
      <c r="H871" s="289"/>
      <c r="I871" s="290" t="s">
        <v>205</v>
      </c>
      <c r="J871" s="290"/>
      <c r="K871" s="290"/>
      <c r="L871" s="47">
        <v>33</v>
      </c>
      <c r="M871" s="262">
        <v>180.76</v>
      </c>
      <c r="N871" s="47">
        <v>100</v>
      </c>
      <c r="O871" s="291">
        <v>73.98</v>
      </c>
      <c r="P871" s="291"/>
      <c r="Q871" s="291"/>
      <c r="R871" s="262">
        <v>5.48</v>
      </c>
      <c r="S871" s="262">
        <v>79.459999999999994</v>
      </c>
      <c r="U871" s="149">
        <f t="shared" si="82"/>
        <v>49878</v>
      </c>
      <c r="V871" s="146">
        <f t="shared" si="83"/>
        <v>14.416666666666666</v>
      </c>
      <c r="W871" s="150">
        <f t="shared" si="84"/>
        <v>18.583333333333336</v>
      </c>
      <c r="X871" s="146">
        <f t="shared" si="85"/>
        <v>18.583333333333336</v>
      </c>
    </row>
    <row r="872" spans="1:24" ht="9.75" customHeight="1" x14ac:dyDescent="0.25">
      <c r="A872" s="288">
        <v>491</v>
      </c>
      <c r="B872" s="288"/>
      <c r="D872" s="258" t="s">
        <v>68</v>
      </c>
      <c r="E872" s="289">
        <v>37833</v>
      </c>
      <c r="F872" s="289"/>
      <c r="G872" s="289"/>
      <c r="H872" s="289"/>
      <c r="I872" s="290" t="s">
        <v>205</v>
      </c>
      <c r="J872" s="290"/>
      <c r="K872" s="290"/>
      <c r="L872" s="47">
        <v>33</v>
      </c>
      <c r="M872" s="262">
        <v>547.5</v>
      </c>
      <c r="N872" s="47">
        <v>100</v>
      </c>
      <c r="O872" s="291">
        <v>223.97</v>
      </c>
      <c r="P872" s="291"/>
      <c r="Q872" s="291"/>
      <c r="R872" s="262">
        <v>16.59</v>
      </c>
      <c r="S872" s="262">
        <v>240.56</v>
      </c>
      <c r="U872" s="149">
        <f t="shared" si="82"/>
        <v>49878</v>
      </c>
      <c r="V872" s="146">
        <f t="shared" si="83"/>
        <v>14.416666666666666</v>
      </c>
      <c r="W872" s="150">
        <f t="shared" si="84"/>
        <v>18.583333333333336</v>
      </c>
      <c r="X872" s="146">
        <f t="shared" si="85"/>
        <v>18.583333333333336</v>
      </c>
    </row>
    <row r="873" spans="1:24" ht="9.75" customHeight="1" x14ac:dyDescent="0.25">
      <c r="A873" s="288">
        <v>496</v>
      </c>
      <c r="B873" s="288"/>
      <c r="D873" s="258" t="s">
        <v>68</v>
      </c>
      <c r="E873" s="289">
        <v>37864</v>
      </c>
      <c r="F873" s="289"/>
      <c r="G873" s="289"/>
      <c r="H873" s="289"/>
      <c r="I873" s="290" t="s">
        <v>205</v>
      </c>
      <c r="J873" s="290"/>
      <c r="K873" s="290"/>
      <c r="L873" s="47">
        <v>33</v>
      </c>
      <c r="M873" s="262">
        <v>288.26</v>
      </c>
      <c r="N873" s="47">
        <v>100</v>
      </c>
      <c r="O873" s="291">
        <v>117.26</v>
      </c>
      <c r="P873" s="291"/>
      <c r="Q873" s="291"/>
      <c r="R873" s="262">
        <v>8.74</v>
      </c>
      <c r="S873" s="262">
        <v>126</v>
      </c>
      <c r="U873" s="149">
        <f t="shared" si="82"/>
        <v>49909</v>
      </c>
      <c r="V873" s="146">
        <f t="shared" si="83"/>
        <v>14.333333333333334</v>
      </c>
      <c r="W873" s="150">
        <f t="shared" si="84"/>
        <v>18.666666666666664</v>
      </c>
      <c r="X873" s="146">
        <f t="shared" si="85"/>
        <v>18.666666666666664</v>
      </c>
    </row>
    <row r="874" spans="1:24" ht="9.75" customHeight="1" x14ac:dyDescent="0.25">
      <c r="A874" s="288">
        <v>497</v>
      </c>
      <c r="B874" s="288"/>
      <c r="D874" s="258" t="s">
        <v>68</v>
      </c>
      <c r="E874" s="289">
        <v>37864</v>
      </c>
      <c r="F874" s="289"/>
      <c r="G874" s="289"/>
      <c r="H874" s="289"/>
      <c r="I874" s="290" t="s">
        <v>205</v>
      </c>
      <c r="J874" s="290"/>
      <c r="K874" s="290"/>
      <c r="L874" s="47">
        <v>33</v>
      </c>
      <c r="M874" s="262">
        <v>1927.5</v>
      </c>
      <c r="N874" s="47">
        <v>100</v>
      </c>
      <c r="O874" s="291">
        <v>783.67000000000007</v>
      </c>
      <c r="P874" s="291"/>
      <c r="Q874" s="291"/>
      <c r="R874" s="262">
        <v>58.410000000000004</v>
      </c>
      <c r="S874" s="262">
        <v>842.08</v>
      </c>
      <c r="U874" s="149">
        <f t="shared" si="82"/>
        <v>49909</v>
      </c>
      <c r="V874" s="146">
        <f t="shared" si="83"/>
        <v>14.333333333333334</v>
      </c>
      <c r="W874" s="150">
        <f t="shared" si="84"/>
        <v>18.666666666666664</v>
      </c>
      <c r="X874" s="146">
        <f t="shared" si="85"/>
        <v>18.666666666666664</v>
      </c>
    </row>
    <row r="875" spans="1:24" ht="9.75" customHeight="1" x14ac:dyDescent="0.25">
      <c r="A875" s="288">
        <v>504</v>
      </c>
      <c r="B875" s="288"/>
      <c r="D875" s="258" t="s">
        <v>68</v>
      </c>
      <c r="E875" s="289">
        <v>37894</v>
      </c>
      <c r="F875" s="289"/>
      <c r="G875" s="289"/>
      <c r="H875" s="289"/>
      <c r="I875" s="290" t="s">
        <v>205</v>
      </c>
      <c r="J875" s="290"/>
      <c r="K875" s="290"/>
      <c r="L875" s="47">
        <v>33</v>
      </c>
      <c r="M875" s="262">
        <v>996.44</v>
      </c>
      <c r="N875" s="47">
        <v>100</v>
      </c>
      <c r="O875" s="291">
        <v>402.67</v>
      </c>
      <c r="P875" s="291"/>
      <c r="Q875" s="291"/>
      <c r="R875" s="262">
        <v>30.2</v>
      </c>
      <c r="S875" s="262">
        <v>432.87</v>
      </c>
      <c r="U875" s="149">
        <f t="shared" si="82"/>
        <v>49939</v>
      </c>
      <c r="V875" s="146">
        <f t="shared" si="83"/>
        <v>14.25</v>
      </c>
      <c r="W875" s="150">
        <f t="shared" si="84"/>
        <v>18.75</v>
      </c>
      <c r="X875" s="146">
        <f t="shared" si="85"/>
        <v>18.75</v>
      </c>
    </row>
    <row r="876" spans="1:24" ht="9.75" customHeight="1" x14ac:dyDescent="0.25">
      <c r="A876" s="288">
        <v>505</v>
      </c>
      <c r="B876" s="288"/>
      <c r="D876" s="258" t="s">
        <v>68</v>
      </c>
      <c r="E876" s="289">
        <v>37894</v>
      </c>
      <c r="F876" s="289"/>
      <c r="G876" s="289"/>
      <c r="H876" s="289"/>
      <c r="I876" s="290" t="s">
        <v>205</v>
      </c>
      <c r="J876" s="290"/>
      <c r="K876" s="290"/>
      <c r="L876" s="47">
        <v>33</v>
      </c>
      <c r="M876" s="262">
        <v>1867.5</v>
      </c>
      <c r="N876" s="47">
        <v>100</v>
      </c>
      <c r="O876" s="291">
        <v>754.53</v>
      </c>
      <c r="P876" s="291"/>
      <c r="Q876" s="291"/>
      <c r="R876" s="262">
        <v>56.59</v>
      </c>
      <c r="S876" s="262">
        <v>811.12</v>
      </c>
      <c r="U876" s="149">
        <f t="shared" si="82"/>
        <v>49939</v>
      </c>
      <c r="V876" s="146">
        <f t="shared" si="83"/>
        <v>14.25</v>
      </c>
      <c r="W876" s="150">
        <f t="shared" si="84"/>
        <v>18.75</v>
      </c>
      <c r="X876" s="146">
        <f t="shared" si="85"/>
        <v>18.75</v>
      </c>
    </row>
    <row r="877" spans="1:24" ht="9.75" customHeight="1" x14ac:dyDescent="0.25">
      <c r="A877" s="288">
        <v>511</v>
      </c>
      <c r="B877" s="288"/>
      <c r="D877" s="258" t="s">
        <v>68</v>
      </c>
      <c r="E877" s="289">
        <v>37925</v>
      </c>
      <c r="F877" s="289"/>
      <c r="G877" s="289"/>
      <c r="H877" s="289"/>
      <c r="I877" s="290" t="s">
        <v>205</v>
      </c>
      <c r="J877" s="290"/>
      <c r="K877" s="290"/>
      <c r="L877" s="47">
        <v>33</v>
      </c>
      <c r="M877" s="262">
        <v>459.58</v>
      </c>
      <c r="N877" s="47">
        <v>100</v>
      </c>
      <c r="O877" s="291">
        <v>184.57</v>
      </c>
      <c r="P877" s="291"/>
      <c r="Q877" s="291"/>
      <c r="R877" s="262">
        <v>13.93</v>
      </c>
      <c r="S877" s="262">
        <v>198.5</v>
      </c>
      <c r="U877" s="149">
        <f t="shared" si="82"/>
        <v>49970</v>
      </c>
      <c r="V877" s="146">
        <f t="shared" si="83"/>
        <v>14.166666666666666</v>
      </c>
      <c r="W877" s="150">
        <f t="shared" si="84"/>
        <v>18.833333333333336</v>
      </c>
      <c r="X877" s="146">
        <f t="shared" si="85"/>
        <v>18.833333333333336</v>
      </c>
    </row>
    <row r="878" spans="1:24" ht="9.75" customHeight="1" x14ac:dyDescent="0.25">
      <c r="A878" s="288">
        <v>512</v>
      </c>
      <c r="B878" s="288"/>
      <c r="D878" s="258" t="s">
        <v>68</v>
      </c>
      <c r="E878" s="289">
        <v>37925</v>
      </c>
      <c r="F878" s="289"/>
      <c r="G878" s="289"/>
      <c r="H878" s="289"/>
      <c r="I878" s="290" t="s">
        <v>205</v>
      </c>
      <c r="J878" s="290"/>
      <c r="K878" s="290"/>
      <c r="L878" s="47">
        <v>33</v>
      </c>
      <c r="M878" s="262">
        <v>2550</v>
      </c>
      <c r="N878" s="47">
        <v>100</v>
      </c>
      <c r="O878" s="291">
        <v>1023.83</v>
      </c>
      <c r="P878" s="291"/>
      <c r="Q878" s="291"/>
      <c r="R878" s="262">
        <v>77.27</v>
      </c>
      <c r="S878" s="262">
        <v>1101.0999999999999</v>
      </c>
      <c r="U878" s="149">
        <f t="shared" si="82"/>
        <v>49970</v>
      </c>
      <c r="V878" s="146">
        <f t="shared" si="83"/>
        <v>14.166666666666666</v>
      </c>
      <c r="W878" s="150">
        <f t="shared" si="84"/>
        <v>18.833333333333336</v>
      </c>
      <c r="X878" s="146">
        <f t="shared" si="85"/>
        <v>18.833333333333336</v>
      </c>
    </row>
    <row r="879" spans="1:24" ht="9.75" customHeight="1" x14ac:dyDescent="0.25">
      <c r="A879" s="288">
        <v>517</v>
      </c>
      <c r="B879" s="288"/>
      <c r="D879" s="258" t="s">
        <v>68</v>
      </c>
      <c r="E879" s="289">
        <v>37955</v>
      </c>
      <c r="F879" s="289"/>
      <c r="G879" s="289"/>
      <c r="H879" s="289"/>
      <c r="I879" s="290" t="s">
        <v>205</v>
      </c>
      <c r="J879" s="290"/>
      <c r="K879" s="290"/>
      <c r="L879" s="47">
        <v>33</v>
      </c>
      <c r="M879" s="262">
        <v>105.23</v>
      </c>
      <c r="N879" s="47">
        <v>100</v>
      </c>
      <c r="O879" s="291">
        <v>42</v>
      </c>
      <c r="P879" s="291"/>
      <c r="Q879" s="291"/>
      <c r="R879" s="262">
        <v>3.19</v>
      </c>
      <c r="S879" s="262">
        <v>45.19</v>
      </c>
      <c r="U879" s="149">
        <f t="shared" si="82"/>
        <v>50000</v>
      </c>
      <c r="V879" s="146">
        <f t="shared" si="83"/>
        <v>14.083333333333334</v>
      </c>
      <c r="W879" s="150">
        <f t="shared" si="84"/>
        <v>18.916666666666664</v>
      </c>
      <c r="X879" s="146">
        <f t="shared" si="85"/>
        <v>18.916666666666664</v>
      </c>
    </row>
    <row r="880" spans="1:24" ht="9.75" customHeight="1" x14ac:dyDescent="0.25">
      <c r="A880" s="288">
        <v>518</v>
      </c>
      <c r="B880" s="288"/>
      <c r="D880" s="258" t="s">
        <v>68</v>
      </c>
      <c r="E880" s="289">
        <v>37955</v>
      </c>
      <c r="F880" s="289"/>
      <c r="G880" s="289"/>
      <c r="H880" s="289"/>
      <c r="I880" s="290" t="s">
        <v>205</v>
      </c>
      <c r="J880" s="290"/>
      <c r="K880" s="290"/>
      <c r="L880" s="47">
        <v>33</v>
      </c>
      <c r="M880" s="262">
        <v>1000</v>
      </c>
      <c r="N880" s="47">
        <v>100</v>
      </c>
      <c r="O880" s="291">
        <v>398.95</v>
      </c>
      <c r="P880" s="291"/>
      <c r="Q880" s="291"/>
      <c r="R880" s="262">
        <v>30.3</v>
      </c>
      <c r="S880" s="262">
        <v>429.25</v>
      </c>
      <c r="U880" s="149">
        <f t="shared" si="82"/>
        <v>50000</v>
      </c>
      <c r="V880" s="146">
        <f t="shared" si="83"/>
        <v>14.083333333333334</v>
      </c>
      <c r="W880" s="150">
        <f t="shared" si="84"/>
        <v>18.916666666666664</v>
      </c>
      <c r="X880" s="146">
        <f t="shared" si="85"/>
        <v>18.916666666666664</v>
      </c>
    </row>
    <row r="881" spans="1:24" ht="9.75" customHeight="1" x14ac:dyDescent="0.25">
      <c r="A881" s="288">
        <v>525</v>
      </c>
      <c r="B881" s="288"/>
      <c r="D881" s="258" t="s">
        <v>68</v>
      </c>
      <c r="E881" s="289">
        <v>37986</v>
      </c>
      <c r="F881" s="289"/>
      <c r="G881" s="289"/>
      <c r="H881" s="289"/>
      <c r="I881" s="290" t="s">
        <v>205</v>
      </c>
      <c r="J881" s="290"/>
      <c r="K881" s="290"/>
      <c r="L881" s="47">
        <v>33</v>
      </c>
      <c r="M881" s="262">
        <v>233.31</v>
      </c>
      <c r="N881" s="47">
        <v>100</v>
      </c>
      <c r="O881" s="291">
        <v>92.5</v>
      </c>
      <c r="P881" s="291"/>
      <c r="Q881" s="291"/>
      <c r="R881" s="262">
        <v>7.07</v>
      </c>
      <c r="S881" s="262">
        <v>99.570000000000007</v>
      </c>
      <c r="U881" s="149">
        <f t="shared" si="82"/>
        <v>50031</v>
      </c>
      <c r="V881" s="146">
        <f t="shared" si="83"/>
        <v>14</v>
      </c>
      <c r="W881" s="150">
        <f t="shared" si="84"/>
        <v>19</v>
      </c>
      <c r="X881" s="146">
        <f t="shared" si="85"/>
        <v>19</v>
      </c>
    </row>
    <row r="882" spans="1:24" ht="9.75" customHeight="1" x14ac:dyDescent="0.25">
      <c r="A882" s="288">
        <v>526</v>
      </c>
      <c r="B882" s="288"/>
      <c r="D882" s="258" t="s">
        <v>68</v>
      </c>
      <c r="E882" s="289">
        <v>37986</v>
      </c>
      <c r="F882" s="289"/>
      <c r="G882" s="289"/>
      <c r="H882" s="289"/>
      <c r="I882" s="290" t="s">
        <v>205</v>
      </c>
      <c r="J882" s="290"/>
      <c r="K882" s="290"/>
      <c r="L882" s="47">
        <v>33</v>
      </c>
      <c r="M882" s="262">
        <v>765</v>
      </c>
      <c r="N882" s="47">
        <v>100</v>
      </c>
      <c r="O882" s="291">
        <v>303.27</v>
      </c>
      <c r="P882" s="291"/>
      <c r="Q882" s="291"/>
      <c r="R882" s="262">
        <v>23.18</v>
      </c>
      <c r="S882" s="262">
        <v>326.45</v>
      </c>
      <c r="U882" s="149">
        <f t="shared" si="82"/>
        <v>50031</v>
      </c>
      <c r="V882" s="146">
        <f t="shared" si="83"/>
        <v>14</v>
      </c>
      <c r="W882" s="150">
        <f t="shared" si="84"/>
        <v>19</v>
      </c>
      <c r="X882" s="146">
        <f t="shared" si="85"/>
        <v>19</v>
      </c>
    </row>
    <row r="883" spans="1:24" ht="9.75" customHeight="1" x14ac:dyDescent="0.25">
      <c r="A883" s="288">
        <v>530</v>
      </c>
      <c r="B883" s="288"/>
      <c r="D883" s="258" t="s">
        <v>68</v>
      </c>
      <c r="E883" s="289">
        <v>39660</v>
      </c>
      <c r="F883" s="289"/>
      <c r="G883" s="289"/>
      <c r="H883" s="289"/>
      <c r="I883" s="290" t="s">
        <v>205</v>
      </c>
      <c r="J883" s="290"/>
      <c r="K883" s="290"/>
      <c r="L883" s="47">
        <v>33</v>
      </c>
      <c r="M883" s="262">
        <v>1702.5</v>
      </c>
      <c r="N883" s="47">
        <v>100</v>
      </c>
      <c r="O883" s="291">
        <v>434.22</v>
      </c>
      <c r="P883" s="291"/>
      <c r="Q883" s="291"/>
      <c r="R883" s="262">
        <v>51.59</v>
      </c>
      <c r="S883" s="262">
        <v>485.81</v>
      </c>
      <c r="U883" s="149">
        <f t="shared" si="82"/>
        <v>51705</v>
      </c>
      <c r="V883" s="146">
        <f t="shared" si="83"/>
        <v>9.4166666666666661</v>
      </c>
      <c r="W883" s="150">
        <f t="shared" si="84"/>
        <v>23.583333333333336</v>
      </c>
      <c r="X883" s="146">
        <f t="shared" si="85"/>
        <v>23.583333333333336</v>
      </c>
    </row>
    <row r="884" spans="1:24" ht="9.75" customHeight="1" x14ac:dyDescent="0.25">
      <c r="A884" s="288">
        <v>531</v>
      </c>
      <c r="B884" s="288"/>
      <c r="D884" s="258" t="s">
        <v>68</v>
      </c>
      <c r="E884" s="289">
        <v>37955</v>
      </c>
      <c r="F884" s="289"/>
      <c r="G884" s="289"/>
      <c r="H884" s="289"/>
      <c r="I884" s="290" t="s">
        <v>205</v>
      </c>
      <c r="J884" s="290"/>
      <c r="K884" s="290"/>
      <c r="L884" s="47">
        <v>33</v>
      </c>
      <c r="M884" s="262">
        <v>435</v>
      </c>
      <c r="N884" s="47">
        <v>100</v>
      </c>
      <c r="O884" s="291">
        <v>173.54</v>
      </c>
      <c r="P884" s="291"/>
      <c r="Q884" s="291"/>
      <c r="R884" s="262">
        <v>13.18</v>
      </c>
      <c r="S884" s="262">
        <v>186.72</v>
      </c>
      <c r="U884" s="149">
        <f t="shared" si="82"/>
        <v>50000</v>
      </c>
      <c r="V884" s="146">
        <f t="shared" si="83"/>
        <v>14.083333333333334</v>
      </c>
      <c r="W884" s="150">
        <f t="shared" si="84"/>
        <v>18.916666666666664</v>
      </c>
      <c r="X884" s="146">
        <f t="shared" si="85"/>
        <v>18.916666666666664</v>
      </c>
    </row>
    <row r="885" spans="1:24" ht="9.75" customHeight="1" x14ac:dyDescent="0.25">
      <c r="A885" s="288">
        <v>534</v>
      </c>
      <c r="B885" s="288"/>
      <c r="D885" s="258" t="s">
        <v>68</v>
      </c>
      <c r="E885" s="289">
        <v>37989</v>
      </c>
      <c r="F885" s="289"/>
      <c r="G885" s="289"/>
      <c r="H885" s="289"/>
      <c r="I885" s="290" t="s">
        <v>205</v>
      </c>
      <c r="J885" s="290"/>
      <c r="K885" s="290"/>
      <c r="L885" s="47">
        <v>33</v>
      </c>
      <c r="M885" s="262">
        <v>2.52</v>
      </c>
      <c r="N885" s="47">
        <v>100</v>
      </c>
      <c r="O885" s="291">
        <v>1.04</v>
      </c>
      <c r="P885" s="291"/>
      <c r="Q885" s="291"/>
      <c r="R885" s="262">
        <v>0.08</v>
      </c>
      <c r="S885" s="262">
        <v>1.1200000000000001</v>
      </c>
      <c r="U885" s="149">
        <f t="shared" si="82"/>
        <v>50034</v>
      </c>
      <c r="V885" s="146">
        <f t="shared" si="83"/>
        <v>13.994444444444444</v>
      </c>
      <c r="W885" s="150">
        <f t="shared" si="84"/>
        <v>19.005555555555556</v>
      </c>
      <c r="X885" s="146">
        <f t="shared" si="85"/>
        <v>19.005555555555556</v>
      </c>
    </row>
    <row r="886" spans="1:24" ht="9.75" customHeight="1" x14ac:dyDescent="0.25">
      <c r="A886" s="288">
        <v>535</v>
      </c>
      <c r="B886" s="288"/>
      <c r="D886" s="258" t="s">
        <v>68</v>
      </c>
      <c r="E886" s="289">
        <v>37989</v>
      </c>
      <c r="F886" s="289"/>
      <c r="G886" s="289"/>
      <c r="H886" s="289"/>
      <c r="I886" s="290" t="s">
        <v>205</v>
      </c>
      <c r="J886" s="290"/>
      <c r="K886" s="290"/>
      <c r="L886" s="47">
        <v>33</v>
      </c>
      <c r="M886" s="262">
        <v>187.5</v>
      </c>
      <c r="N886" s="47">
        <v>100</v>
      </c>
      <c r="O886" s="291">
        <v>73.84</v>
      </c>
      <c r="P886" s="291"/>
      <c r="Q886" s="291"/>
      <c r="R886" s="262">
        <v>5.68</v>
      </c>
      <c r="S886" s="262">
        <v>79.52</v>
      </c>
      <c r="U886" s="149">
        <f t="shared" si="82"/>
        <v>50034</v>
      </c>
      <c r="V886" s="146">
        <f t="shared" si="83"/>
        <v>13.994444444444444</v>
      </c>
      <c r="W886" s="150">
        <f t="shared" si="84"/>
        <v>19.005555555555556</v>
      </c>
      <c r="X886" s="146">
        <f t="shared" si="85"/>
        <v>19.005555555555556</v>
      </c>
    </row>
    <row r="887" spans="1:24" ht="9.75" customHeight="1" x14ac:dyDescent="0.25">
      <c r="A887" s="288">
        <v>539</v>
      </c>
      <c r="B887" s="288"/>
      <c r="D887" s="258" t="s">
        <v>68</v>
      </c>
      <c r="E887" s="289">
        <v>38046</v>
      </c>
      <c r="F887" s="289"/>
      <c r="G887" s="289"/>
      <c r="H887" s="289"/>
      <c r="I887" s="290" t="s">
        <v>205</v>
      </c>
      <c r="J887" s="290"/>
      <c r="K887" s="290"/>
      <c r="L887" s="47">
        <v>33</v>
      </c>
      <c r="M887" s="262">
        <v>2.59</v>
      </c>
      <c r="N887" s="47">
        <v>100</v>
      </c>
      <c r="O887" s="291">
        <v>1.03</v>
      </c>
      <c r="P887" s="291"/>
      <c r="Q887" s="291"/>
      <c r="R887" s="262">
        <v>0.08</v>
      </c>
      <c r="S887" s="262">
        <v>1.1100000000000001</v>
      </c>
      <c r="U887" s="149">
        <f t="shared" si="82"/>
        <v>50091</v>
      </c>
      <c r="V887" s="146">
        <f t="shared" si="83"/>
        <v>13.83611111111111</v>
      </c>
      <c r="W887" s="150">
        <f t="shared" si="84"/>
        <v>19.163888888888891</v>
      </c>
      <c r="X887" s="146">
        <f t="shared" ref="X887:X918" si="86">IF(W887=0,0,W887)</f>
        <v>19.163888888888891</v>
      </c>
    </row>
    <row r="888" spans="1:24" ht="9.75" customHeight="1" x14ac:dyDescent="0.25">
      <c r="A888" s="288">
        <v>540</v>
      </c>
      <c r="B888" s="288"/>
      <c r="D888" s="258" t="s">
        <v>68</v>
      </c>
      <c r="E888" s="289">
        <v>38046</v>
      </c>
      <c r="F888" s="289"/>
      <c r="G888" s="289"/>
      <c r="H888" s="289"/>
      <c r="I888" s="290" t="s">
        <v>205</v>
      </c>
      <c r="J888" s="290"/>
      <c r="K888" s="290"/>
      <c r="L888" s="47">
        <v>33</v>
      </c>
      <c r="M888" s="262">
        <v>367.5</v>
      </c>
      <c r="N888" s="47">
        <v>100</v>
      </c>
      <c r="O888" s="291">
        <v>142.96</v>
      </c>
      <c r="P888" s="291"/>
      <c r="Q888" s="291"/>
      <c r="R888" s="262">
        <v>11.14</v>
      </c>
      <c r="S888" s="262">
        <v>154.1</v>
      </c>
      <c r="U888" s="149">
        <f t="shared" si="82"/>
        <v>50091</v>
      </c>
      <c r="V888" s="146">
        <f t="shared" si="83"/>
        <v>13.83611111111111</v>
      </c>
      <c r="W888" s="150">
        <f t="shared" si="84"/>
        <v>19.163888888888891</v>
      </c>
      <c r="X888" s="146">
        <f t="shared" si="86"/>
        <v>19.163888888888891</v>
      </c>
    </row>
    <row r="889" spans="1:24" ht="9.75" customHeight="1" x14ac:dyDescent="0.25">
      <c r="A889" s="288">
        <v>544</v>
      </c>
      <c r="B889" s="288"/>
      <c r="D889" s="258" t="s">
        <v>68</v>
      </c>
      <c r="E889" s="289">
        <v>38077</v>
      </c>
      <c r="F889" s="289"/>
      <c r="G889" s="289"/>
      <c r="H889" s="289"/>
      <c r="I889" s="290" t="s">
        <v>205</v>
      </c>
      <c r="J889" s="290"/>
      <c r="K889" s="290"/>
      <c r="L889" s="47">
        <v>33</v>
      </c>
      <c r="M889" s="262">
        <v>338.92</v>
      </c>
      <c r="N889" s="47">
        <v>100</v>
      </c>
      <c r="O889" s="291">
        <v>130.94</v>
      </c>
      <c r="P889" s="291"/>
      <c r="Q889" s="291"/>
      <c r="R889" s="262">
        <v>10.27</v>
      </c>
      <c r="S889" s="262">
        <v>141.21</v>
      </c>
      <c r="U889" s="149">
        <f t="shared" si="82"/>
        <v>50122</v>
      </c>
      <c r="V889" s="146">
        <f t="shared" si="83"/>
        <v>13.75</v>
      </c>
      <c r="W889" s="150">
        <f t="shared" si="84"/>
        <v>19.25</v>
      </c>
      <c r="X889" s="146">
        <f t="shared" si="86"/>
        <v>19.25</v>
      </c>
    </row>
    <row r="890" spans="1:24" ht="9.75" customHeight="1" x14ac:dyDescent="0.25">
      <c r="A890" s="288">
        <v>545</v>
      </c>
      <c r="B890" s="288"/>
      <c r="D890" s="258" t="s">
        <v>68</v>
      </c>
      <c r="E890" s="289">
        <v>38077</v>
      </c>
      <c r="F890" s="289"/>
      <c r="G890" s="289"/>
      <c r="H890" s="289"/>
      <c r="I890" s="290" t="s">
        <v>205</v>
      </c>
      <c r="J890" s="290"/>
      <c r="K890" s="290"/>
      <c r="L890" s="47">
        <v>33</v>
      </c>
      <c r="M890" s="262">
        <v>832.5</v>
      </c>
      <c r="N890" s="47">
        <v>100</v>
      </c>
      <c r="O890" s="291">
        <v>321.68</v>
      </c>
      <c r="P890" s="291"/>
      <c r="Q890" s="291"/>
      <c r="R890" s="262">
        <v>25.23</v>
      </c>
      <c r="S890" s="262">
        <v>346.91</v>
      </c>
      <c r="U890" s="149">
        <f t="shared" si="82"/>
        <v>50122</v>
      </c>
      <c r="V890" s="146">
        <f t="shared" si="83"/>
        <v>13.75</v>
      </c>
      <c r="W890" s="150">
        <f t="shared" si="84"/>
        <v>19.25</v>
      </c>
      <c r="X890" s="146">
        <f t="shared" si="86"/>
        <v>19.25</v>
      </c>
    </row>
    <row r="891" spans="1:24" ht="9.75" customHeight="1" x14ac:dyDescent="0.25">
      <c r="A891" s="288">
        <v>550</v>
      </c>
      <c r="B891" s="288"/>
      <c r="D891" s="258" t="s">
        <v>68</v>
      </c>
      <c r="E891" s="289">
        <v>38089</v>
      </c>
      <c r="F891" s="289"/>
      <c r="G891" s="289"/>
      <c r="H891" s="289"/>
      <c r="I891" s="290" t="s">
        <v>205</v>
      </c>
      <c r="J891" s="290"/>
      <c r="K891" s="290"/>
      <c r="L891" s="47">
        <v>33</v>
      </c>
      <c r="M891" s="262">
        <v>200</v>
      </c>
      <c r="N891" s="47">
        <v>100</v>
      </c>
      <c r="O891" s="291">
        <v>77.27</v>
      </c>
      <c r="P891" s="291"/>
      <c r="Q891" s="291"/>
      <c r="R891" s="262">
        <v>6.0600000000000005</v>
      </c>
      <c r="S891" s="262">
        <v>83.33</v>
      </c>
      <c r="U891" s="149">
        <f t="shared" si="82"/>
        <v>50134</v>
      </c>
      <c r="V891" s="146">
        <f t="shared" si="83"/>
        <v>13.719444444444445</v>
      </c>
      <c r="W891" s="150">
        <f t="shared" si="84"/>
        <v>19.280555555555555</v>
      </c>
      <c r="X891" s="146">
        <f t="shared" si="86"/>
        <v>19.280555555555555</v>
      </c>
    </row>
    <row r="892" spans="1:24" ht="9.75" customHeight="1" x14ac:dyDescent="0.25">
      <c r="A892" s="288">
        <v>551</v>
      </c>
      <c r="B892" s="288"/>
      <c r="D892" s="258" t="s">
        <v>68</v>
      </c>
      <c r="E892" s="289">
        <v>38107</v>
      </c>
      <c r="F892" s="289"/>
      <c r="G892" s="289"/>
      <c r="H892" s="289"/>
      <c r="I892" s="290" t="s">
        <v>205</v>
      </c>
      <c r="J892" s="290"/>
      <c r="K892" s="290"/>
      <c r="L892" s="47">
        <v>33</v>
      </c>
      <c r="M892" s="262">
        <v>105</v>
      </c>
      <c r="N892" s="47">
        <v>100</v>
      </c>
      <c r="O892" s="291">
        <v>40.28</v>
      </c>
      <c r="P892" s="291"/>
      <c r="Q892" s="291"/>
      <c r="R892" s="262">
        <v>3.18</v>
      </c>
      <c r="S892" s="262">
        <v>43.46</v>
      </c>
      <c r="U892" s="149">
        <f t="shared" si="82"/>
        <v>50152</v>
      </c>
      <c r="V892" s="146">
        <f t="shared" si="83"/>
        <v>13.666666666666666</v>
      </c>
      <c r="W892" s="150">
        <f t="shared" si="84"/>
        <v>19.333333333333336</v>
      </c>
      <c r="X892" s="146">
        <f t="shared" si="86"/>
        <v>19.333333333333336</v>
      </c>
    </row>
    <row r="893" spans="1:24" ht="9.75" customHeight="1" x14ac:dyDescent="0.25">
      <c r="A893" s="288">
        <v>552</v>
      </c>
      <c r="B893" s="288"/>
      <c r="D893" s="258" t="s">
        <v>68</v>
      </c>
      <c r="E893" s="289">
        <v>38107</v>
      </c>
      <c r="F893" s="289"/>
      <c r="G893" s="289"/>
      <c r="H893" s="289"/>
      <c r="I893" s="290" t="s">
        <v>205</v>
      </c>
      <c r="J893" s="290"/>
      <c r="K893" s="290"/>
      <c r="L893" s="47">
        <v>33</v>
      </c>
      <c r="M893" s="262">
        <v>1.95</v>
      </c>
      <c r="N893" s="47">
        <v>100</v>
      </c>
      <c r="O893" s="291">
        <v>0.76</v>
      </c>
      <c r="P893" s="291"/>
      <c r="Q893" s="291"/>
      <c r="R893" s="262">
        <v>0.06</v>
      </c>
      <c r="S893" s="262">
        <v>0.82000000000000006</v>
      </c>
      <c r="U893" s="149">
        <f t="shared" si="82"/>
        <v>50152</v>
      </c>
      <c r="V893" s="146">
        <f t="shared" si="83"/>
        <v>13.666666666666666</v>
      </c>
      <c r="W893" s="150">
        <f t="shared" si="84"/>
        <v>19.333333333333336</v>
      </c>
      <c r="X893" s="146">
        <f t="shared" si="86"/>
        <v>19.333333333333336</v>
      </c>
    </row>
    <row r="894" spans="1:24" ht="9.75" customHeight="1" x14ac:dyDescent="0.25">
      <c r="A894" s="288">
        <v>558</v>
      </c>
      <c r="B894" s="288"/>
      <c r="D894" s="258" t="s">
        <v>68</v>
      </c>
      <c r="E894" s="289">
        <v>38138</v>
      </c>
      <c r="F894" s="289"/>
      <c r="G894" s="289"/>
      <c r="H894" s="289"/>
      <c r="I894" s="290" t="s">
        <v>205</v>
      </c>
      <c r="J894" s="290"/>
      <c r="K894" s="290"/>
      <c r="L894" s="47">
        <v>33</v>
      </c>
      <c r="M894" s="262">
        <v>307.5</v>
      </c>
      <c r="N894" s="47">
        <v>100</v>
      </c>
      <c r="O894" s="291">
        <v>117.28</v>
      </c>
      <c r="P894" s="291"/>
      <c r="Q894" s="291"/>
      <c r="R894" s="262">
        <v>9.32</v>
      </c>
      <c r="S894" s="262">
        <v>126.60000000000001</v>
      </c>
      <c r="U894" s="149">
        <f t="shared" si="82"/>
        <v>50183</v>
      </c>
      <c r="V894" s="146">
        <f t="shared" si="83"/>
        <v>13.583333333333334</v>
      </c>
      <c r="W894" s="150">
        <f t="shared" si="84"/>
        <v>19.416666666666664</v>
      </c>
      <c r="X894" s="146">
        <f t="shared" si="86"/>
        <v>19.416666666666664</v>
      </c>
    </row>
    <row r="895" spans="1:24" ht="9.75" customHeight="1" x14ac:dyDescent="0.25">
      <c r="A895" s="288">
        <v>562</v>
      </c>
      <c r="B895" s="288"/>
      <c r="D895" s="258" t="s">
        <v>68</v>
      </c>
      <c r="E895" s="289">
        <v>38168</v>
      </c>
      <c r="F895" s="289"/>
      <c r="G895" s="289"/>
      <c r="H895" s="289"/>
      <c r="I895" s="290" t="s">
        <v>205</v>
      </c>
      <c r="J895" s="290"/>
      <c r="K895" s="290"/>
      <c r="L895" s="47">
        <v>33</v>
      </c>
      <c r="M895" s="262">
        <v>167.93</v>
      </c>
      <c r="N895" s="47">
        <v>100</v>
      </c>
      <c r="O895" s="291">
        <v>63.620000000000005</v>
      </c>
      <c r="P895" s="291"/>
      <c r="Q895" s="291"/>
      <c r="R895" s="262">
        <v>5.09</v>
      </c>
      <c r="S895" s="262">
        <v>68.709999999999994</v>
      </c>
      <c r="U895" s="149">
        <f t="shared" si="82"/>
        <v>50213</v>
      </c>
      <c r="V895" s="146">
        <f t="shared" si="83"/>
        <v>13.5</v>
      </c>
      <c r="W895" s="150">
        <f t="shared" si="84"/>
        <v>19.5</v>
      </c>
      <c r="X895" s="146">
        <f t="shared" si="86"/>
        <v>19.5</v>
      </c>
    </row>
    <row r="896" spans="1:24" ht="9.75" customHeight="1" x14ac:dyDescent="0.25">
      <c r="A896" s="288">
        <v>563</v>
      </c>
      <c r="B896" s="288"/>
      <c r="D896" s="258" t="s">
        <v>68</v>
      </c>
      <c r="E896" s="289">
        <v>38168</v>
      </c>
      <c r="F896" s="289"/>
      <c r="G896" s="289"/>
      <c r="H896" s="289"/>
      <c r="I896" s="290" t="s">
        <v>205</v>
      </c>
      <c r="J896" s="290"/>
      <c r="K896" s="290"/>
      <c r="L896" s="47">
        <v>33</v>
      </c>
      <c r="M896" s="262">
        <v>2017.5</v>
      </c>
      <c r="N896" s="47">
        <v>100</v>
      </c>
      <c r="O896" s="291">
        <v>764.25</v>
      </c>
      <c r="P896" s="291"/>
      <c r="Q896" s="291"/>
      <c r="R896" s="262">
        <v>61.14</v>
      </c>
      <c r="S896" s="262">
        <v>825.39</v>
      </c>
      <c r="U896" s="149">
        <f t="shared" si="82"/>
        <v>50213</v>
      </c>
      <c r="V896" s="146">
        <f t="shared" si="83"/>
        <v>13.5</v>
      </c>
      <c r="W896" s="150">
        <f t="shared" si="84"/>
        <v>19.5</v>
      </c>
      <c r="X896" s="146">
        <f t="shared" si="86"/>
        <v>19.5</v>
      </c>
    </row>
    <row r="897" spans="1:24" ht="9.75" customHeight="1" x14ac:dyDescent="0.25">
      <c r="A897" s="288">
        <v>569</v>
      </c>
      <c r="B897" s="288"/>
      <c r="D897" s="258" t="s">
        <v>68</v>
      </c>
      <c r="E897" s="289">
        <v>38199</v>
      </c>
      <c r="F897" s="289"/>
      <c r="G897" s="289"/>
      <c r="H897" s="289"/>
      <c r="I897" s="290" t="s">
        <v>205</v>
      </c>
      <c r="J897" s="290"/>
      <c r="K897" s="290"/>
      <c r="L897" s="47">
        <v>33</v>
      </c>
      <c r="M897" s="262">
        <v>322.44</v>
      </c>
      <c r="N897" s="47">
        <v>100</v>
      </c>
      <c r="O897" s="291">
        <v>121.31</v>
      </c>
      <c r="P897" s="291"/>
      <c r="Q897" s="291"/>
      <c r="R897" s="262">
        <v>9.77</v>
      </c>
      <c r="S897" s="262">
        <v>131.08000000000001</v>
      </c>
      <c r="U897" s="149">
        <f t="shared" si="82"/>
        <v>50244</v>
      </c>
      <c r="V897" s="146">
        <f t="shared" si="83"/>
        <v>13.416666666666666</v>
      </c>
      <c r="W897" s="150">
        <f t="shared" si="84"/>
        <v>19.583333333333336</v>
      </c>
      <c r="X897" s="146">
        <f t="shared" si="86"/>
        <v>19.583333333333336</v>
      </c>
    </row>
    <row r="898" spans="1:24" ht="9.75" customHeight="1" x14ac:dyDescent="0.25">
      <c r="A898" s="288">
        <v>570</v>
      </c>
      <c r="B898" s="288"/>
      <c r="D898" s="258" t="s">
        <v>68</v>
      </c>
      <c r="E898" s="289">
        <v>38199</v>
      </c>
      <c r="F898" s="289"/>
      <c r="G898" s="289"/>
      <c r="H898" s="289"/>
      <c r="I898" s="290" t="s">
        <v>205</v>
      </c>
      <c r="J898" s="290"/>
      <c r="K898" s="290"/>
      <c r="L898" s="47">
        <v>33</v>
      </c>
      <c r="M898" s="262">
        <v>1747.5</v>
      </c>
      <c r="N898" s="47">
        <v>100</v>
      </c>
      <c r="O898" s="291">
        <v>657.46</v>
      </c>
      <c r="P898" s="291"/>
      <c r="Q898" s="291"/>
      <c r="R898" s="262">
        <v>52.95</v>
      </c>
      <c r="S898" s="262">
        <v>710.41</v>
      </c>
      <c r="U898" s="149">
        <f t="shared" si="82"/>
        <v>50244</v>
      </c>
      <c r="V898" s="146">
        <f t="shared" si="83"/>
        <v>13.416666666666666</v>
      </c>
      <c r="W898" s="150">
        <f t="shared" si="84"/>
        <v>19.583333333333336</v>
      </c>
      <c r="X898" s="146">
        <f t="shared" si="86"/>
        <v>19.583333333333336</v>
      </c>
    </row>
    <row r="899" spans="1:24" ht="9.75" customHeight="1" x14ac:dyDescent="0.25">
      <c r="A899" s="288">
        <v>573</v>
      </c>
      <c r="B899" s="288"/>
      <c r="D899" s="258" t="s">
        <v>68</v>
      </c>
      <c r="E899" s="289">
        <v>38230</v>
      </c>
      <c r="F899" s="289"/>
      <c r="G899" s="289"/>
      <c r="H899" s="289"/>
      <c r="I899" s="290" t="s">
        <v>205</v>
      </c>
      <c r="J899" s="290"/>
      <c r="K899" s="290"/>
      <c r="L899" s="47">
        <v>33</v>
      </c>
      <c r="M899" s="262">
        <v>777.2</v>
      </c>
      <c r="N899" s="47">
        <v>100</v>
      </c>
      <c r="O899" s="291">
        <v>290.45</v>
      </c>
      <c r="P899" s="291"/>
      <c r="Q899" s="291"/>
      <c r="R899" s="262">
        <v>23.55</v>
      </c>
      <c r="S899" s="262">
        <v>314</v>
      </c>
      <c r="U899" s="149">
        <f t="shared" si="82"/>
        <v>50275</v>
      </c>
      <c r="V899" s="146">
        <f t="shared" si="83"/>
        <v>13.333333333333334</v>
      </c>
      <c r="W899" s="150">
        <f t="shared" si="84"/>
        <v>19.666666666666664</v>
      </c>
      <c r="X899" s="146">
        <f t="shared" si="86"/>
        <v>19.666666666666664</v>
      </c>
    </row>
    <row r="900" spans="1:24" ht="9.75" customHeight="1" x14ac:dyDescent="0.25">
      <c r="A900" s="288">
        <v>574</v>
      </c>
      <c r="B900" s="288"/>
      <c r="D900" s="258" t="s">
        <v>68</v>
      </c>
      <c r="E900" s="289">
        <v>38230</v>
      </c>
      <c r="F900" s="289"/>
      <c r="G900" s="289"/>
      <c r="H900" s="289"/>
      <c r="I900" s="290" t="s">
        <v>205</v>
      </c>
      <c r="J900" s="290"/>
      <c r="K900" s="290"/>
      <c r="L900" s="47">
        <v>33</v>
      </c>
      <c r="M900" s="262">
        <v>1875</v>
      </c>
      <c r="N900" s="47">
        <v>100</v>
      </c>
      <c r="O900" s="291">
        <v>700.78</v>
      </c>
      <c r="P900" s="291"/>
      <c r="Q900" s="291"/>
      <c r="R900" s="262">
        <v>56.82</v>
      </c>
      <c r="S900" s="262">
        <v>757.6</v>
      </c>
      <c r="U900" s="149">
        <f t="shared" ref="U900:U963" si="87">E900+(L900*365)</f>
        <v>50275</v>
      </c>
      <c r="V900" s="146">
        <f t="shared" ref="V900:V963" si="88">YEARFRAC(E900,$V$14)</f>
        <v>13.333333333333334</v>
      </c>
      <c r="W900" s="150">
        <f t="shared" ref="W900:W963" si="89">IF(V900&gt;L900,0,L900-V900)</f>
        <v>19.666666666666664</v>
      </c>
      <c r="X900" s="146">
        <f t="shared" si="86"/>
        <v>19.666666666666664</v>
      </c>
    </row>
    <row r="901" spans="1:24" ht="9.75" customHeight="1" x14ac:dyDescent="0.25">
      <c r="A901" s="288">
        <v>583</v>
      </c>
      <c r="B901" s="288"/>
      <c r="D901" s="258" t="s">
        <v>68</v>
      </c>
      <c r="E901" s="289">
        <v>38247</v>
      </c>
      <c r="F901" s="289"/>
      <c r="G901" s="289"/>
      <c r="H901" s="289"/>
      <c r="I901" s="290" t="s">
        <v>205</v>
      </c>
      <c r="J901" s="290"/>
      <c r="K901" s="290"/>
      <c r="L901" s="47">
        <v>33</v>
      </c>
      <c r="M901" s="262">
        <v>2467.75</v>
      </c>
      <c r="N901" s="47">
        <v>100</v>
      </c>
      <c r="O901" s="291">
        <v>916.06000000000006</v>
      </c>
      <c r="P901" s="291"/>
      <c r="Q901" s="291"/>
      <c r="R901" s="262">
        <v>74.78</v>
      </c>
      <c r="S901" s="262">
        <v>990.84</v>
      </c>
      <c r="U901" s="149">
        <f t="shared" si="87"/>
        <v>50292</v>
      </c>
      <c r="V901" s="146">
        <f t="shared" si="88"/>
        <v>13.28888888888889</v>
      </c>
      <c r="W901" s="150">
        <f t="shared" si="89"/>
        <v>19.711111111111109</v>
      </c>
      <c r="X901" s="146">
        <f t="shared" si="86"/>
        <v>19.711111111111109</v>
      </c>
    </row>
    <row r="902" spans="1:24" ht="9.75" customHeight="1" x14ac:dyDescent="0.25">
      <c r="A902" s="288">
        <v>584</v>
      </c>
      <c r="B902" s="288"/>
      <c r="D902" s="258" t="s">
        <v>68</v>
      </c>
      <c r="E902" s="289">
        <v>38260</v>
      </c>
      <c r="F902" s="289"/>
      <c r="G902" s="289"/>
      <c r="H902" s="289"/>
      <c r="I902" s="290" t="s">
        <v>205</v>
      </c>
      <c r="J902" s="290"/>
      <c r="K902" s="290"/>
      <c r="L902" s="47">
        <v>33</v>
      </c>
      <c r="M902" s="262">
        <v>296.35000000000002</v>
      </c>
      <c r="N902" s="47">
        <v>100</v>
      </c>
      <c r="O902" s="291">
        <v>110.01</v>
      </c>
      <c r="P902" s="291"/>
      <c r="Q902" s="291"/>
      <c r="R902" s="262">
        <v>8.98</v>
      </c>
      <c r="S902" s="262">
        <v>118.99000000000001</v>
      </c>
      <c r="U902" s="149">
        <f t="shared" si="87"/>
        <v>50305</v>
      </c>
      <c r="V902" s="146">
        <f t="shared" si="88"/>
        <v>13.25</v>
      </c>
      <c r="W902" s="150">
        <f t="shared" si="89"/>
        <v>19.75</v>
      </c>
      <c r="X902" s="146">
        <f t="shared" si="86"/>
        <v>19.75</v>
      </c>
    </row>
    <row r="903" spans="1:24" ht="9.75" customHeight="1" x14ac:dyDescent="0.25">
      <c r="A903" s="288">
        <v>585</v>
      </c>
      <c r="B903" s="288"/>
      <c r="D903" s="258" t="s">
        <v>68</v>
      </c>
      <c r="E903" s="289">
        <v>38260</v>
      </c>
      <c r="F903" s="289"/>
      <c r="G903" s="289"/>
      <c r="H903" s="289"/>
      <c r="I903" s="290" t="s">
        <v>205</v>
      </c>
      <c r="J903" s="290"/>
      <c r="K903" s="290"/>
      <c r="L903" s="47">
        <v>33</v>
      </c>
      <c r="M903" s="262">
        <v>1747.5</v>
      </c>
      <c r="N903" s="47">
        <v>100</v>
      </c>
      <c r="O903" s="291">
        <v>648.64</v>
      </c>
      <c r="P903" s="291"/>
      <c r="Q903" s="291"/>
      <c r="R903" s="262">
        <v>52.95</v>
      </c>
      <c r="S903" s="262">
        <v>701.59</v>
      </c>
      <c r="U903" s="149">
        <f t="shared" si="87"/>
        <v>50305</v>
      </c>
      <c r="V903" s="146">
        <f t="shared" si="88"/>
        <v>13.25</v>
      </c>
      <c r="W903" s="150">
        <f t="shared" si="89"/>
        <v>19.75</v>
      </c>
      <c r="X903" s="146">
        <f t="shared" si="86"/>
        <v>19.75</v>
      </c>
    </row>
    <row r="904" spans="1:24" ht="9.75" customHeight="1" x14ac:dyDescent="0.25">
      <c r="A904" s="288">
        <v>592</v>
      </c>
      <c r="B904" s="288"/>
      <c r="D904" s="258" t="s">
        <v>68</v>
      </c>
      <c r="E904" s="289">
        <v>38291</v>
      </c>
      <c r="F904" s="289"/>
      <c r="G904" s="289"/>
      <c r="H904" s="289"/>
      <c r="I904" s="290" t="s">
        <v>205</v>
      </c>
      <c r="J904" s="290"/>
      <c r="K904" s="290"/>
      <c r="L904" s="47">
        <v>33</v>
      </c>
      <c r="M904" s="262">
        <v>166.22</v>
      </c>
      <c r="N904" s="47">
        <v>100</v>
      </c>
      <c r="O904" s="291">
        <v>61.32</v>
      </c>
      <c r="P904" s="291"/>
      <c r="Q904" s="291"/>
      <c r="R904" s="262">
        <v>5.04</v>
      </c>
      <c r="S904" s="262">
        <v>66.36</v>
      </c>
      <c r="U904" s="149">
        <f t="shared" si="87"/>
        <v>50336</v>
      </c>
      <c r="V904" s="146">
        <f t="shared" si="88"/>
        <v>13.166666666666666</v>
      </c>
      <c r="W904" s="150">
        <f t="shared" si="89"/>
        <v>19.833333333333336</v>
      </c>
      <c r="X904" s="146">
        <f t="shared" si="86"/>
        <v>19.833333333333336</v>
      </c>
    </row>
    <row r="905" spans="1:24" ht="9.75" customHeight="1" x14ac:dyDescent="0.25">
      <c r="A905" s="288">
        <v>593</v>
      </c>
      <c r="B905" s="288"/>
      <c r="D905" s="258" t="s">
        <v>68</v>
      </c>
      <c r="E905" s="289">
        <v>38291</v>
      </c>
      <c r="F905" s="289"/>
      <c r="G905" s="289"/>
      <c r="H905" s="289"/>
      <c r="I905" s="290" t="s">
        <v>205</v>
      </c>
      <c r="J905" s="290"/>
      <c r="K905" s="290"/>
      <c r="L905" s="47">
        <v>33</v>
      </c>
      <c r="M905" s="262">
        <v>1020</v>
      </c>
      <c r="N905" s="47">
        <v>100</v>
      </c>
      <c r="O905" s="291">
        <v>376.07</v>
      </c>
      <c r="P905" s="291"/>
      <c r="Q905" s="291"/>
      <c r="R905" s="262">
        <v>30.91</v>
      </c>
      <c r="S905" s="262">
        <v>406.98</v>
      </c>
      <c r="U905" s="149">
        <f t="shared" si="87"/>
        <v>50336</v>
      </c>
      <c r="V905" s="146">
        <f t="shared" si="88"/>
        <v>13.166666666666666</v>
      </c>
      <c r="W905" s="150">
        <f t="shared" si="89"/>
        <v>19.833333333333336</v>
      </c>
      <c r="X905" s="146">
        <f t="shared" si="86"/>
        <v>19.833333333333336</v>
      </c>
    </row>
    <row r="906" spans="1:24" ht="9.75" customHeight="1" x14ac:dyDescent="0.25">
      <c r="A906" s="288">
        <v>598</v>
      </c>
      <c r="B906" s="288"/>
      <c r="D906" s="258" t="s">
        <v>68</v>
      </c>
      <c r="E906" s="289">
        <v>38321</v>
      </c>
      <c r="F906" s="289"/>
      <c r="G906" s="289"/>
      <c r="H906" s="289"/>
      <c r="I906" s="290" t="s">
        <v>205</v>
      </c>
      <c r="J906" s="290"/>
      <c r="K906" s="290"/>
      <c r="L906" s="47">
        <v>33</v>
      </c>
      <c r="M906" s="262">
        <v>191.48000000000002</v>
      </c>
      <c r="N906" s="47">
        <v>100</v>
      </c>
      <c r="O906" s="291">
        <v>70.08</v>
      </c>
      <c r="P906" s="291"/>
      <c r="Q906" s="291"/>
      <c r="R906" s="262">
        <v>5.8</v>
      </c>
      <c r="S906" s="262">
        <v>75.88</v>
      </c>
      <c r="U906" s="149">
        <f t="shared" si="87"/>
        <v>50366</v>
      </c>
      <c r="V906" s="146">
        <f t="shared" si="88"/>
        <v>13.083333333333334</v>
      </c>
      <c r="W906" s="150">
        <f t="shared" si="89"/>
        <v>19.916666666666664</v>
      </c>
      <c r="X906" s="146">
        <f t="shared" si="86"/>
        <v>19.916666666666664</v>
      </c>
    </row>
    <row r="907" spans="1:24" ht="9.75" customHeight="1" x14ac:dyDescent="0.25">
      <c r="A907" s="288">
        <v>599</v>
      </c>
      <c r="B907" s="288"/>
      <c r="D907" s="258" t="s">
        <v>68</v>
      </c>
      <c r="E907" s="289">
        <v>38321</v>
      </c>
      <c r="F907" s="289"/>
      <c r="G907" s="289"/>
      <c r="H907" s="289"/>
      <c r="I907" s="290" t="s">
        <v>205</v>
      </c>
      <c r="J907" s="290"/>
      <c r="K907" s="290"/>
      <c r="L907" s="47">
        <v>33</v>
      </c>
      <c r="M907" s="262">
        <v>217.5</v>
      </c>
      <c r="N907" s="47">
        <v>100</v>
      </c>
      <c r="O907" s="291">
        <v>79.63</v>
      </c>
      <c r="P907" s="291"/>
      <c r="Q907" s="291"/>
      <c r="R907" s="262">
        <v>6.59</v>
      </c>
      <c r="S907" s="262">
        <v>86.22</v>
      </c>
      <c r="U907" s="149">
        <f t="shared" si="87"/>
        <v>50366</v>
      </c>
      <c r="V907" s="146">
        <f t="shared" si="88"/>
        <v>13.083333333333334</v>
      </c>
      <c r="W907" s="150">
        <f t="shared" si="89"/>
        <v>19.916666666666664</v>
      </c>
      <c r="X907" s="146">
        <f t="shared" si="86"/>
        <v>19.916666666666664</v>
      </c>
    </row>
    <row r="908" spans="1:24" ht="9.75" customHeight="1" x14ac:dyDescent="0.25">
      <c r="A908" s="288">
        <v>605</v>
      </c>
      <c r="B908" s="288"/>
      <c r="D908" s="258" t="s">
        <v>68</v>
      </c>
      <c r="E908" s="289">
        <v>38352</v>
      </c>
      <c r="F908" s="289"/>
      <c r="G908" s="289"/>
      <c r="H908" s="289"/>
      <c r="I908" s="290" t="s">
        <v>205</v>
      </c>
      <c r="J908" s="290"/>
      <c r="K908" s="290"/>
      <c r="L908" s="47">
        <v>33</v>
      </c>
      <c r="M908" s="262">
        <v>242.86</v>
      </c>
      <c r="N908" s="47">
        <v>100</v>
      </c>
      <c r="O908" s="291">
        <v>88.320000000000007</v>
      </c>
      <c r="P908" s="291"/>
      <c r="Q908" s="291"/>
      <c r="R908" s="262">
        <v>7.36</v>
      </c>
      <c r="S908" s="262">
        <v>95.68</v>
      </c>
      <c r="U908" s="149">
        <f t="shared" si="87"/>
        <v>50397</v>
      </c>
      <c r="V908" s="146">
        <f t="shared" si="88"/>
        <v>13</v>
      </c>
      <c r="W908" s="150">
        <f t="shared" si="89"/>
        <v>20</v>
      </c>
      <c r="X908" s="146">
        <f t="shared" si="86"/>
        <v>20</v>
      </c>
    </row>
    <row r="909" spans="1:24" ht="9.75" customHeight="1" x14ac:dyDescent="0.25">
      <c r="A909" s="288">
        <v>606</v>
      </c>
      <c r="B909" s="288"/>
      <c r="D909" s="258" t="s">
        <v>68</v>
      </c>
      <c r="E909" s="289">
        <v>38352</v>
      </c>
      <c r="F909" s="289"/>
      <c r="G909" s="289"/>
      <c r="H909" s="289"/>
      <c r="I909" s="290" t="s">
        <v>205</v>
      </c>
      <c r="J909" s="290"/>
      <c r="K909" s="290"/>
      <c r="L909" s="47">
        <v>33</v>
      </c>
      <c r="M909" s="262">
        <v>1005</v>
      </c>
      <c r="N909" s="47">
        <v>100</v>
      </c>
      <c r="O909" s="291">
        <v>365.40000000000003</v>
      </c>
      <c r="P909" s="291"/>
      <c r="Q909" s="291"/>
      <c r="R909" s="262">
        <v>30.45</v>
      </c>
      <c r="S909" s="262">
        <v>395.85</v>
      </c>
      <c r="U909" s="149">
        <f t="shared" si="87"/>
        <v>50397</v>
      </c>
      <c r="V909" s="146">
        <f t="shared" si="88"/>
        <v>13</v>
      </c>
      <c r="W909" s="150">
        <f t="shared" si="89"/>
        <v>20</v>
      </c>
      <c r="X909" s="146">
        <f t="shared" si="86"/>
        <v>20</v>
      </c>
    </row>
    <row r="910" spans="1:24" ht="9.75" customHeight="1" x14ac:dyDescent="0.25">
      <c r="A910" s="288">
        <v>611</v>
      </c>
      <c r="B910" s="288"/>
      <c r="D910" s="258" t="s">
        <v>68</v>
      </c>
      <c r="E910" s="289">
        <v>38383</v>
      </c>
      <c r="F910" s="289"/>
      <c r="G910" s="289"/>
      <c r="H910" s="289"/>
      <c r="I910" s="290" t="s">
        <v>205</v>
      </c>
      <c r="J910" s="290"/>
      <c r="K910" s="290"/>
      <c r="L910" s="47">
        <v>33</v>
      </c>
      <c r="M910" s="262">
        <v>22.47</v>
      </c>
      <c r="N910" s="47">
        <v>100</v>
      </c>
      <c r="O910" s="291">
        <v>8.1</v>
      </c>
      <c r="P910" s="291"/>
      <c r="Q910" s="291"/>
      <c r="R910" s="262">
        <v>0.68</v>
      </c>
      <c r="S910" s="262">
        <v>8.7799999999999994</v>
      </c>
      <c r="U910" s="149">
        <f t="shared" si="87"/>
        <v>50428</v>
      </c>
      <c r="V910" s="146">
        <f t="shared" si="88"/>
        <v>12.916666666666666</v>
      </c>
      <c r="W910" s="150">
        <f t="shared" si="89"/>
        <v>20.083333333333336</v>
      </c>
      <c r="X910" s="146">
        <f t="shared" si="86"/>
        <v>20.083333333333336</v>
      </c>
    </row>
    <row r="911" spans="1:24" ht="9.75" customHeight="1" x14ac:dyDescent="0.25">
      <c r="A911" s="288">
        <v>612</v>
      </c>
      <c r="B911" s="288"/>
      <c r="D911" s="258" t="s">
        <v>68</v>
      </c>
      <c r="E911" s="289">
        <v>38383</v>
      </c>
      <c r="F911" s="289"/>
      <c r="G911" s="289"/>
      <c r="H911" s="289"/>
      <c r="I911" s="290" t="s">
        <v>205</v>
      </c>
      <c r="J911" s="290"/>
      <c r="K911" s="290"/>
      <c r="L911" s="47">
        <v>33</v>
      </c>
      <c r="M911" s="262">
        <v>157.5</v>
      </c>
      <c r="N911" s="47">
        <v>100</v>
      </c>
      <c r="O911" s="291">
        <v>56.85</v>
      </c>
      <c r="P911" s="291"/>
      <c r="Q911" s="291"/>
      <c r="R911" s="262">
        <v>4.7699999999999996</v>
      </c>
      <c r="S911" s="262">
        <v>61.620000000000005</v>
      </c>
      <c r="U911" s="149">
        <f t="shared" si="87"/>
        <v>50428</v>
      </c>
      <c r="V911" s="146">
        <f t="shared" si="88"/>
        <v>12.916666666666666</v>
      </c>
      <c r="W911" s="150">
        <f t="shared" si="89"/>
        <v>20.083333333333336</v>
      </c>
      <c r="X911" s="146">
        <f t="shared" si="86"/>
        <v>20.083333333333336</v>
      </c>
    </row>
    <row r="912" spans="1:24" ht="9.75" customHeight="1" x14ac:dyDescent="0.25">
      <c r="A912" s="288">
        <v>613</v>
      </c>
      <c r="B912" s="288"/>
      <c r="D912" s="258" t="s">
        <v>68</v>
      </c>
      <c r="E912" s="289">
        <v>38411</v>
      </c>
      <c r="F912" s="289"/>
      <c r="G912" s="289"/>
      <c r="H912" s="289"/>
      <c r="I912" s="290" t="s">
        <v>205</v>
      </c>
      <c r="J912" s="290"/>
      <c r="K912" s="290"/>
      <c r="L912" s="47">
        <v>33</v>
      </c>
      <c r="M912" s="262">
        <v>45.49</v>
      </c>
      <c r="N912" s="47">
        <v>100</v>
      </c>
      <c r="O912" s="291">
        <v>16.329999999999998</v>
      </c>
      <c r="P912" s="291"/>
      <c r="Q912" s="291"/>
      <c r="R912" s="262">
        <v>1.3800000000000001</v>
      </c>
      <c r="S912" s="262">
        <v>17.71</v>
      </c>
      <c r="U912" s="149">
        <f t="shared" si="87"/>
        <v>50456</v>
      </c>
      <c r="V912" s="146">
        <f t="shared" si="88"/>
        <v>12.83611111111111</v>
      </c>
      <c r="W912" s="150">
        <f t="shared" si="89"/>
        <v>20.163888888888891</v>
      </c>
      <c r="X912" s="146">
        <f t="shared" si="86"/>
        <v>20.163888888888891</v>
      </c>
    </row>
    <row r="913" spans="1:24" ht="9.75" customHeight="1" x14ac:dyDescent="0.25">
      <c r="A913" s="288">
        <v>614</v>
      </c>
      <c r="B913" s="288"/>
      <c r="D913" s="258" t="s">
        <v>68</v>
      </c>
      <c r="E913" s="289">
        <v>38411</v>
      </c>
      <c r="F913" s="289"/>
      <c r="G913" s="289"/>
      <c r="H913" s="289"/>
      <c r="I913" s="290" t="s">
        <v>205</v>
      </c>
      <c r="J913" s="290"/>
      <c r="K913" s="290"/>
      <c r="L913" s="47">
        <v>33</v>
      </c>
      <c r="M913" s="262">
        <v>300</v>
      </c>
      <c r="N913" s="47">
        <v>100</v>
      </c>
      <c r="O913" s="291">
        <v>107.57000000000001</v>
      </c>
      <c r="P913" s="291"/>
      <c r="Q913" s="291"/>
      <c r="R913" s="262">
        <v>9.09</v>
      </c>
      <c r="S913" s="262">
        <v>116.66</v>
      </c>
      <c r="U913" s="149">
        <f t="shared" si="87"/>
        <v>50456</v>
      </c>
      <c r="V913" s="146">
        <f t="shared" si="88"/>
        <v>12.83611111111111</v>
      </c>
      <c r="W913" s="150">
        <f t="shared" si="89"/>
        <v>20.163888888888891</v>
      </c>
      <c r="X913" s="146">
        <f t="shared" si="86"/>
        <v>20.163888888888891</v>
      </c>
    </row>
    <row r="914" spans="1:24" ht="9.75" customHeight="1" x14ac:dyDescent="0.25">
      <c r="A914" s="288">
        <v>618</v>
      </c>
      <c r="B914" s="288"/>
      <c r="D914" s="258" t="s">
        <v>68</v>
      </c>
      <c r="E914" s="289">
        <v>38442</v>
      </c>
      <c r="F914" s="289"/>
      <c r="G914" s="289"/>
      <c r="H914" s="289"/>
      <c r="I914" s="290" t="s">
        <v>205</v>
      </c>
      <c r="J914" s="290"/>
      <c r="K914" s="290"/>
      <c r="L914" s="47">
        <v>33</v>
      </c>
      <c r="M914" s="262">
        <v>59.15</v>
      </c>
      <c r="N914" s="47">
        <v>100</v>
      </c>
      <c r="O914" s="291">
        <v>21.03</v>
      </c>
      <c r="P914" s="291"/>
      <c r="Q914" s="291"/>
      <c r="R914" s="262">
        <v>1.79</v>
      </c>
      <c r="S914" s="262">
        <v>22.82</v>
      </c>
      <c r="U914" s="149">
        <f t="shared" si="87"/>
        <v>50487</v>
      </c>
      <c r="V914" s="146">
        <f t="shared" si="88"/>
        <v>12.75</v>
      </c>
      <c r="W914" s="150">
        <f t="shared" si="89"/>
        <v>20.25</v>
      </c>
      <c r="X914" s="146">
        <f t="shared" si="86"/>
        <v>20.25</v>
      </c>
    </row>
    <row r="915" spans="1:24" ht="9.75" customHeight="1" x14ac:dyDescent="0.25">
      <c r="A915" s="288">
        <v>619</v>
      </c>
      <c r="B915" s="288"/>
      <c r="D915" s="258" t="s">
        <v>68</v>
      </c>
      <c r="E915" s="289">
        <v>38442</v>
      </c>
      <c r="F915" s="289"/>
      <c r="G915" s="289"/>
      <c r="H915" s="289"/>
      <c r="I915" s="290" t="s">
        <v>205</v>
      </c>
      <c r="J915" s="290"/>
      <c r="K915" s="290"/>
      <c r="L915" s="47">
        <v>33</v>
      </c>
      <c r="M915" s="262">
        <v>720</v>
      </c>
      <c r="N915" s="47">
        <v>100</v>
      </c>
      <c r="O915" s="291">
        <v>256.38</v>
      </c>
      <c r="P915" s="291"/>
      <c r="Q915" s="291"/>
      <c r="R915" s="262">
        <v>21.82</v>
      </c>
      <c r="S915" s="262">
        <v>278.2</v>
      </c>
      <c r="U915" s="149">
        <f t="shared" si="87"/>
        <v>50487</v>
      </c>
      <c r="V915" s="146">
        <f t="shared" si="88"/>
        <v>12.75</v>
      </c>
      <c r="W915" s="150">
        <f t="shared" si="89"/>
        <v>20.25</v>
      </c>
      <c r="X915" s="146">
        <f t="shared" si="86"/>
        <v>20.25</v>
      </c>
    </row>
    <row r="916" spans="1:24" ht="9.75" customHeight="1" x14ac:dyDescent="0.25">
      <c r="A916" s="288">
        <v>622</v>
      </c>
      <c r="B916" s="288"/>
      <c r="D916" s="258" t="s">
        <v>68</v>
      </c>
      <c r="E916" s="289">
        <v>38472</v>
      </c>
      <c r="F916" s="289"/>
      <c r="G916" s="289"/>
      <c r="H916" s="289"/>
      <c r="I916" s="290" t="s">
        <v>205</v>
      </c>
      <c r="J916" s="290"/>
      <c r="K916" s="290"/>
      <c r="L916" s="47">
        <v>33</v>
      </c>
      <c r="M916" s="262">
        <v>204.55</v>
      </c>
      <c r="N916" s="47">
        <v>100</v>
      </c>
      <c r="O916" s="291">
        <v>72.33</v>
      </c>
      <c r="P916" s="291"/>
      <c r="Q916" s="291"/>
      <c r="R916" s="262">
        <v>6.2</v>
      </c>
      <c r="S916" s="262">
        <v>78.53</v>
      </c>
      <c r="U916" s="149">
        <f t="shared" si="87"/>
        <v>50517</v>
      </c>
      <c r="V916" s="146">
        <f t="shared" si="88"/>
        <v>12.666666666666666</v>
      </c>
      <c r="W916" s="150">
        <f t="shared" si="89"/>
        <v>20.333333333333336</v>
      </c>
      <c r="X916" s="146">
        <f t="shared" si="86"/>
        <v>20.333333333333336</v>
      </c>
    </row>
    <row r="917" spans="1:24" ht="9.75" customHeight="1" x14ac:dyDescent="0.25">
      <c r="A917" s="288">
        <v>623</v>
      </c>
      <c r="B917" s="288"/>
      <c r="D917" s="258" t="s">
        <v>68</v>
      </c>
      <c r="E917" s="289">
        <v>38472</v>
      </c>
      <c r="F917" s="289"/>
      <c r="G917" s="289"/>
      <c r="H917" s="289"/>
      <c r="I917" s="290" t="s">
        <v>205</v>
      </c>
      <c r="J917" s="290"/>
      <c r="K917" s="290"/>
      <c r="L917" s="47">
        <v>33</v>
      </c>
      <c r="M917" s="262">
        <v>832.5</v>
      </c>
      <c r="N917" s="47">
        <v>100</v>
      </c>
      <c r="O917" s="291">
        <v>294.35000000000002</v>
      </c>
      <c r="P917" s="291"/>
      <c r="Q917" s="291"/>
      <c r="R917" s="262">
        <v>25.23</v>
      </c>
      <c r="S917" s="262">
        <v>319.58</v>
      </c>
      <c r="U917" s="149">
        <f t="shared" si="87"/>
        <v>50517</v>
      </c>
      <c r="V917" s="146">
        <f t="shared" si="88"/>
        <v>12.666666666666666</v>
      </c>
      <c r="W917" s="150">
        <f t="shared" si="89"/>
        <v>20.333333333333336</v>
      </c>
      <c r="X917" s="146">
        <f t="shared" si="86"/>
        <v>20.333333333333336</v>
      </c>
    </row>
    <row r="918" spans="1:24" ht="9.75" customHeight="1" x14ac:dyDescent="0.25">
      <c r="A918" s="288">
        <v>626</v>
      </c>
      <c r="B918" s="288"/>
      <c r="D918" s="258" t="s">
        <v>68</v>
      </c>
      <c r="E918" s="289">
        <v>38503</v>
      </c>
      <c r="F918" s="289"/>
      <c r="G918" s="289"/>
      <c r="H918" s="289"/>
      <c r="I918" s="290" t="s">
        <v>205</v>
      </c>
      <c r="J918" s="290"/>
      <c r="K918" s="290"/>
      <c r="L918" s="47">
        <v>33</v>
      </c>
      <c r="M918" s="262">
        <v>690</v>
      </c>
      <c r="N918" s="47">
        <v>100</v>
      </c>
      <c r="O918" s="291">
        <v>242.21</v>
      </c>
      <c r="P918" s="291"/>
      <c r="Q918" s="291"/>
      <c r="R918" s="262">
        <v>20.91</v>
      </c>
      <c r="S918" s="262">
        <v>263.12</v>
      </c>
      <c r="U918" s="149">
        <f t="shared" si="87"/>
        <v>50548</v>
      </c>
      <c r="V918" s="146">
        <f t="shared" si="88"/>
        <v>12.583333333333334</v>
      </c>
      <c r="W918" s="150">
        <f t="shared" si="89"/>
        <v>20.416666666666664</v>
      </c>
      <c r="X918" s="146">
        <f t="shared" si="86"/>
        <v>20.416666666666664</v>
      </c>
    </row>
    <row r="919" spans="1:24" ht="9.75" customHeight="1" x14ac:dyDescent="0.25">
      <c r="A919" s="288">
        <v>632</v>
      </c>
      <c r="B919" s="288"/>
      <c r="D919" s="258" t="s">
        <v>68</v>
      </c>
      <c r="E919" s="289">
        <v>38533</v>
      </c>
      <c r="F919" s="289"/>
      <c r="G919" s="289"/>
      <c r="H919" s="289"/>
      <c r="I919" s="290" t="s">
        <v>205</v>
      </c>
      <c r="J919" s="290"/>
      <c r="K919" s="290"/>
      <c r="L919" s="47">
        <v>33</v>
      </c>
      <c r="M919" s="262">
        <v>215.25</v>
      </c>
      <c r="N919" s="47">
        <v>100</v>
      </c>
      <c r="O919" s="291">
        <v>74.98</v>
      </c>
      <c r="P919" s="291"/>
      <c r="Q919" s="291"/>
      <c r="R919" s="262">
        <v>6.5200000000000005</v>
      </c>
      <c r="S919" s="262">
        <v>81.5</v>
      </c>
      <c r="U919" s="149">
        <f t="shared" si="87"/>
        <v>50578</v>
      </c>
      <c r="V919" s="146">
        <f t="shared" si="88"/>
        <v>12.5</v>
      </c>
      <c r="W919" s="150">
        <f t="shared" si="89"/>
        <v>20.5</v>
      </c>
      <c r="X919" s="146">
        <f t="shared" ref="X919:X950" si="90">IF(W919=0,0,W919)</f>
        <v>20.5</v>
      </c>
    </row>
    <row r="920" spans="1:24" ht="9.75" customHeight="1" x14ac:dyDescent="0.25">
      <c r="A920" s="288">
        <v>633</v>
      </c>
      <c r="B920" s="288"/>
      <c r="D920" s="258" t="s">
        <v>68</v>
      </c>
      <c r="E920" s="289">
        <v>38533</v>
      </c>
      <c r="F920" s="289"/>
      <c r="G920" s="289"/>
      <c r="H920" s="289"/>
      <c r="I920" s="290" t="s">
        <v>205</v>
      </c>
      <c r="J920" s="290"/>
      <c r="K920" s="290"/>
      <c r="L920" s="47">
        <v>33</v>
      </c>
      <c r="M920" s="262">
        <v>1252.5</v>
      </c>
      <c r="N920" s="47">
        <v>100</v>
      </c>
      <c r="O920" s="291">
        <v>436.43</v>
      </c>
      <c r="P920" s="291"/>
      <c r="Q920" s="291"/>
      <c r="R920" s="262">
        <v>37.950000000000003</v>
      </c>
      <c r="S920" s="262">
        <v>474.38</v>
      </c>
      <c r="U920" s="149">
        <f t="shared" si="87"/>
        <v>50578</v>
      </c>
      <c r="V920" s="146">
        <f t="shared" si="88"/>
        <v>12.5</v>
      </c>
      <c r="W920" s="150">
        <f t="shared" si="89"/>
        <v>20.5</v>
      </c>
      <c r="X920" s="146">
        <f t="shared" si="90"/>
        <v>20.5</v>
      </c>
    </row>
    <row r="921" spans="1:24" ht="9.75" customHeight="1" x14ac:dyDescent="0.25">
      <c r="A921" s="288">
        <v>634</v>
      </c>
      <c r="B921" s="288"/>
      <c r="D921" s="258" t="s">
        <v>68</v>
      </c>
      <c r="E921" s="289">
        <v>38564</v>
      </c>
      <c r="F921" s="289"/>
      <c r="G921" s="289"/>
      <c r="H921" s="289"/>
      <c r="I921" s="290" t="s">
        <v>205</v>
      </c>
      <c r="J921" s="290"/>
      <c r="K921" s="290"/>
      <c r="L921" s="47">
        <v>33</v>
      </c>
      <c r="M921" s="262">
        <v>1.62</v>
      </c>
      <c r="N921" s="47">
        <v>100</v>
      </c>
      <c r="O921" s="291">
        <v>0.56999999999999995</v>
      </c>
      <c r="P921" s="291"/>
      <c r="Q921" s="291"/>
      <c r="R921" s="262">
        <v>0.05</v>
      </c>
      <c r="S921" s="262">
        <v>0.62</v>
      </c>
      <c r="U921" s="149">
        <f t="shared" si="87"/>
        <v>50609</v>
      </c>
      <c r="V921" s="146">
        <f t="shared" si="88"/>
        <v>12.416666666666666</v>
      </c>
      <c r="W921" s="150">
        <f t="shared" si="89"/>
        <v>20.583333333333336</v>
      </c>
      <c r="X921" s="146">
        <f t="shared" si="90"/>
        <v>20.583333333333336</v>
      </c>
    </row>
    <row r="922" spans="1:24" ht="9.75" customHeight="1" x14ac:dyDescent="0.25">
      <c r="A922" s="288">
        <v>635</v>
      </c>
      <c r="B922" s="288"/>
      <c r="D922" s="258" t="s">
        <v>68</v>
      </c>
      <c r="E922" s="289">
        <v>38564</v>
      </c>
      <c r="F922" s="289"/>
      <c r="G922" s="289"/>
      <c r="H922" s="289"/>
      <c r="I922" s="290" t="s">
        <v>205</v>
      </c>
      <c r="J922" s="290"/>
      <c r="K922" s="290"/>
      <c r="L922" s="47">
        <v>33</v>
      </c>
      <c r="M922" s="262">
        <v>322.5</v>
      </c>
      <c r="N922" s="47">
        <v>100</v>
      </c>
      <c r="O922" s="291">
        <v>111.54</v>
      </c>
      <c r="P922" s="291"/>
      <c r="Q922" s="291"/>
      <c r="R922" s="262">
        <v>9.77</v>
      </c>
      <c r="S922" s="262">
        <v>121.31</v>
      </c>
      <c r="U922" s="149">
        <f t="shared" si="87"/>
        <v>50609</v>
      </c>
      <c r="V922" s="146">
        <f t="shared" si="88"/>
        <v>12.416666666666666</v>
      </c>
      <c r="W922" s="150">
        <f t="shared" si="89"/>
        <v>20.583333333333336</v>
      </c>
      <c r="X922" s="146">
        <f t="shared" si="90"/>
        <v>20.583333333333336</v>
      </c>
    </row>
    <row r="923" spans="1:24" ht="9.75" customHeight="1" x14ac:dyDescent="0.25">
      <c r="A923" s="288">
        <v>639</v>
      </c>
      <c r="B923" s="288"/>
      <c r="D923" s="258" t="s">
        <v>68</v>
      </c>
      <c r="E923" s="289">
        <v>38595</v>
      </c>
      <c r="F923" s="289"/>
      <c r="G923" s="289"/>
      <c r="H923" s="289"/>
      <c r="I923" s="290" t="s">
        <v>205</v>
      </c>
      <c r="J923" s="290"/>
      <c r="K923" s="290"/>
      <c r="L923" s="47">
        <v>33</v>
      </c>
      <c r="M923" s="262">
        <v>215.32</v>
      </c>
      <c r="N923" s="47">
        <v>100</v>
      </c>
      <c r="O923" s="291">
        <v>73.89</v>
      </c>
      <c r="P923" s="291"/>
      <c r="Q923" s="291"/>
      <c r="R923" s="262">
        <v>6.5200000000000005</v>
      </c>
      <c r="S923" s="262">
        <v>80.41</v>
      </c>
      <c r="U923" s="149">
        <f t="shared" si="87"/>
        <v>50640</v>
      </c>
      <c r="V923" s="146">
        <f t="shared" si="88"/>
        <v>12.333333333333334</v>
      </c>
      <c r="W923" s="150">
        <f t="shared" si="89"/>
        <v>20.666666666666664</v>
      </c>
      <c r="X923" s="146">
        <f t="shared" si="90"/>
        <v>20.666666666666664</v>
      </c>
    </row>
    <row r="924" spans="1:24" ht="9.75" customHeight="1" x14ac:dyDescent="0.25">
      <c r="A924" s="288">
        <v>640</v>
      </c>
      <c r="B924" s="288"/>
      <c r="D924" s="258" t="s">
        <v>68</v>
      </c>
      <c r="E924" s="289">
        <v>38595</v>
      </c>
      <c r="F924" s="289"/>
      <c r="G924" s="289"/>
      <c r="H924" s="289"/>
      <c r="I924" s="290" t="s">
        <v>205</v>
      </c>
      <c r="J924" s="290"/>
      <c r="K924" s="290"/>
      <c r="L924" s="47">
        <v>33</v>
      </c>
      <c r="M924" s="262">
        <v>1492.5</v>
      </c>
      <c r="N924" s="47">
        <v>100</v>
      </c>
      <c r="O924" s="291">
        <v>512.61</v>
      </c>
      <c r="P924" s="291"/>
      <c r="Q924" s="291"/>
      <c r="R924" s="262">
        <v>45.230000000000004</v>
      </c>
      <c r="S924" s="262">
        <v>557.84</v>
      </c>
      <c r="U924" s="149">
        <f t="shared" si="87"/>
        <v>50640</v>
      </c>
      <c r="V924" s="146">
        <f t="shared" si="88"/>
        <v>12.333333333333334</v>
      </c>
      <c r="W924" s="150">
        <f t="shared" si="89"/>
        <v>20.666666666666664</v>
      </c>
      <c r="X924" s="146">
        <f t="shared" si="90"/>
        <v>20.666666666666664</v>
      </c>
    </row>
    <row r="925" spans="1:24" ht="9.75" customHeight="1" x14ac:dyDescent="0.25">
      <c r="A925" s="288">
        <v>644</v>
      </c>
      <c r="B925" s="288"/>
      <c r="D925" s="258" t="s">
        <v>68</v>
      </c>
      <c r="E925" s="289">
        <v>38625</v>
      </c>
      <c r="F925" s="289"/>
      <c r="G925" s="289"/>
      <c r="H925" s="289"/>
      <c r="I925" s="290" t="s">
        <v>205</v>
      </c>
      <c r="J925" s="290"/>
      <c r="K925" s="290"/>
      <c r="L925" s="47">
        <v>33</v>
      </c>
      <c r="M925" s="262">
        <v>470.13</v>
      </c>
      <c r="N925" s="47">
        <v>100</v>
      </c>
      <c r="O925" s="291">
        <v>160.31</v>
      </c>
      <c r="P925" s="291"/>
      <c r="Q925" s="291"/>
      <c r="R925" s="262">
        <v>14.25</v>
      </c>
      <c r="S925" s="262">
        <v>174.56</v>
      </c>
      <c r="U925" s="149">
        <f t="shared" si="87"/>
        <v>50670</v>
      </c>
      <c r="V925" s="146">
        <f t="shared" si="88"/>
        <v>12.25</v>
      </c>
      <c r="W925" s="150">
        <f t="shared" si="89"/>
        <v>20.75</v>
      </c>
      <c r="X925" s="146">
        <f t="shared" si="90"/>
        <v>20.75</v>
      </c>
    </row>
    <row r="926" spans="1:24" ht="9.75" customHeight="1" x14ac:dyDescent="0.25">
      <c r="A926" s="288">
        <v>645</v>
      </c>
      <c r="B926" s="288"/>
      <c r="D926" s="258" t="s">
        <v>68</v>
      </c>
      <c r="E926" s="289">
        <v>38625</v>
      </c>
      <c r="F926" s="289"/>
      <c r="G926" s="289"/>
      <c r="H926" s="289"/>
      <c r="I926" s="290" t="s">
        <v>205</v>
      </c>
      <c r="J926" s="290"/>
      <c r="K926" s="290"/>
      <c r="L926" s="47">
        <v>33</v>
      </c>
      <c r="M926" s="262">
        <v>2062.5</v>
      </c>
      <c r="N926" s="47">
        <v>100</v>
      </c>
      <c r="O926" s="291">
        <v>703.13</v>
      </c>
      <c r="P926" s="291"/>
      <c r="Q926" s="291"/>
      <c r="R926" s="262">
        <v>62.5</v>
      </c>
      <c r="S926" s="262">
        <v>765.63</v>
      </c>
      <c r="U926" s="149">
        <f t="shared" si="87"/>
        <v>50670</v>
      </c>
      <c r="V926" s="146">
        <f t="shared" si="88"/>
        <v>12.25</v>
      </c>
      <c r="W926" s="150">
        <f t="shared" si="89"/>
        <v>20.75</v>
      </c>
      <c r="X926" s="146">
        <f t="shared" si="90"/>
        <v>20.75</v>
      </c>
    </row>
    <row r="927" spans="1:24" ht="9.75" customHeight="1" x14ac:dyDescent="0.25">
      <c r="A927" s="288">
        <v>649</v>
      </c>
      <c r="B927" s="288"/>
      <c r="D927" s="258" t="s">
        <v>68</v>
      </c>
      <c r="E927" s="289">
        <v>38656</v>
      </c>
      <c r="F927" s="289"/>
      <c r="G927" s="289"/>
      <c r="H927" s="289"/>
      <c r="I927" s="290" t="s">
        <v>205</v>
      </c>
      <c r="J927" s="290"/>
      <c r="K927" s="290"/>
      <c r="L927" s="47">
        <v>33</v>
      </c>
      <c r="M927" s="262">
        <v>155.96</v>
      </c>
      <c r="N927" s="47">
        <v>100</v>
      </c>
      <c r="O927" s="291">
        <v>52.82</v>
      </c>
      <c r="P927" s="291"/>
      <c r="Q927" s="291"/>
      <c r="R927" s="262">
        <v>4.7300000000000004</v>
      </c>
      <c r="S927" s="262">
        <v>57.550000000000004</v>
      </c>
      <c r="U927" s="149">
        <f t="shared" si="87"/>
        <v>50701</v>
      </c>
      <c r="V927" s="146">
        <f t="shared" si="88"/>
        <v>12.166666666666666</v>
      </c>
      <c r="W927" s="150">
        <f t="shared" si="89"/>
        <v>20.833333333333336</v>
      </c>
      <c r="X927" s="146">
        <f t="shared" si="90"/>
        <v>20.833333333333336</v>
      </c>
    </row>
    <row r="928" spans="1:24" ht="9.75" customHeight="1" x14ac:dyDescent="0.25">
      <c r="A928" s="288">
        <v>650</v>
      </c>
      <c r="B928" s="288"/>
      <c r="D928" s="258" t="s">
        <v>68</v>
      </c>
      <c r="E928" s="289">
        <v>38656</v>
      </c>
      <c r="F928" s="289"/>
      <c r="G928" s="289"/>
      <c r="H928" s="289"/>
      <c r="I928" s="290" t="s">
        <v>205</v>
      </c>
      <c r="J928" s="290"/>
      <c r="K928" s="290"/>
      <c r="L928" s="47">
        <v>33</v>
      </c>
      <c r="M928" s="262">
        <v>1567.5</v>
      </c>
      <c r="N928" s="47">
        <v>100</v>
      </c>
      <c r="O928" s="291">
        <v>530.41999999999996</v>
      </c>
      <c r="P928" s="291"/>
      <c r="Q928" s="291"/>
      <c r="R928" s="262">
        <v>47.5</v>
      </c>
      <c r="S928" s="262">
        <v>577.91999999999996</v>
      </c>
      <c r="U928" s="149">
        <f t="shared" si="87"/>
        <v>50701</v>
      </c>
      <c r="V928" s="146">
        <f t="shared" si="88"/>
        <v>12.166666666666666</v>
      </c>
      <c r="W928" s="150">
        <f t="shared" si="89"/>
        <v>20.833333333333336</v>
      </c>
      <c r="X928" s="146">
        <f t="shared" si="90"/>
        <v>20.833333333333336</v>
      </c>
    </row>
    <row r="929" spans="1:24" ht="9.75" customHeight="1" x14ac:dyDescent="0.25">
      <c r="A929" s="288">
        <v>653</v>
      </c>
      <c r="B929" s="288"/>
      <c r="D929" s="258" t="s">
        <v>68</v>
      </c>
      <c r="E929" s="289">
        <v>38686</v>
      </c>
      <c r="F929" s="289"/>
      <c r="G929" s="289"/>
      <c r="H929" s="289"/>
      <c r="I929" s="290" t="s">
        <v>205</v>
      </c>
      <c r="J929" s="290"/>
      <c r="K929" s="290"/>
      <c r="L929" s="47">
        <v>33</v>
      </c>
      <c r="M929" s="262">
        <v>317.70999999999998</v>
      </c>
      <c r="N929" s="47">
        <v>100</v>
      </c>
      <c r="O929" s="291">
        <v>106.73</v>
      </c>
      <c r="P929" s="291"/>
      <c r="Q929" s="291"/>
      <c r="R929" s="262">
        <v>9.6300000000000008</v>
      </c>
      <c r="S929" s="262">
        <v>116.36</v>
      </c>
      <c r="U929" s="149">
        <f t="shared" si="87"/>
        <v>50731</v>
      </c>
      <c r="V929" s="146">
        <f t="shared" si="88"/>
        <v>12.083333333333334</v>
      </c>
      <c r="W929" s="150">
        <f t="shared" si="89"/>
        <v>20.916666666666664</v>
      </c>
      <c r="X929" s="146">
        <f t="shared" si="90"/>
        <v>20.916666666666664</v>
      </c>
    </row>
    <row r="930" spans="1:24" ht="9.75" customHeight="1" x14ac:dyDescent="0.25">
      <c r="A930" s="288">
        <v>654</v>
      </c>
      <c r="B930" s="288"/>
      <c r="D930" s="258" t="s">
        <v>68</v>
      </c>
      <c r="E930" s="289">
        <v>38686</v>
      </c>
      <c r="F930" s="289"/>
      <c r="G930" s="289"/>
      <c r="H930" s="289"/>
      <c r="I930" s="290" t="s">
        <v>205</v>
      </c>
      <c r="J930" s="290"/>
      <c r="K930" s="290"/>
      <c r="L930" s="47">
        <v>33</v>
      </c>
      <c r="M930" s="262">
        <v>1110</v>
      </c>
      <c r="N930" s="47">
        <v>100</v>
      </c>
      <c r="O930" s="291">
        <v>372.84000000000003</v>
      </c>
      <c r="P930" s="291"/>
      <c r="Q930" s="291"/>
      <c r="R930" s="262">
        <v>33.64</v>
      </c>
      <c r="S930" s="262">
        <v>406.48</v>
      </c>
      <c r="U930" s="149">
        <f t="shared" si="87"/>
        <v>50731</v>
      </c>
      <c r="V930" s="146">
        <f t="shared" si="88"/>
        <v>12.083333333333334</v>
      </c>
      <c r="W930" s="150">
        <f t="shared" si="89"/>
        <v>20.916666666666664</v>
      </c>
      <c r="X930" s="146">
        <f t="shared" si="90"/>
        <v>20.916666666666664</v>
      </c>
    </row>
    <row r="931" spans="1:24" ht="9.75" customHeight="1" x14ac:dyDescent="0.25">
      <c r="A931" s="288">
        <v>658</v>
      </c>
      <c r="B931" s="288"/>
      <c r="D931" s="258" t="s">
        <v>68</v>
      </c>
      <c r="E931" s="289">
        <v>38717</v>
      </c>
      <c r="F931" s="289"/>
      <c r="G931" s="289"/>
      <c r="H931" s="289"/>
      <c r="I931" s="290" t="s">
        <v>205</v>
      </c>
      <c r="J931" s="290"/>
      <c r="K931" s="290"/>
      <c r="L931" s="47">
        <v>33</v>
      </c>
      <c r="M931" s="262">
        <v>504.34000000000003</v>
      </c>
      <c r="N931" s="47">
        <v>100</v>
      </c>
      <c r="O931" s="291">
        <v>168.08</v>
      </c>
      <c r="P931" s="291"/>
      <c r="Q931" s="291"/>
      <c r="R931" s="262">
        <v>15.280000000000001</v>
      </c>
      <c r="S931" s="262">
        <v>183.36</v>
      </c>
      <c r="U931" s="149">
        <f t="shared" si="87"/>
        <v>50762</v>
      </c>
      <c r="V931" s="146">
        <f t="shared" si="88"/>
        <v>12</v>
      </c>
      <c r="W931" s="150">
        <f t="shared" si="89"/>
        <v>21</v>
      </c>
      <c r="X931" s="146">
        <f t="shared" si="90"/>
        <v>21</v>
      </c>
    </row>
    <row r="932" spans="1:24" ht="9.75" customHeight="1" x14ac:dyDescent="0.25">
      <c r="A932" s="288">
        <v>659</v>
      </c>
      <c r="B932" s="288"/>
      <c r="D932" s="258" t="s">
        <v>68</v>
      </c>
      <c r="E932" s="289">
        <v>38717</v>
      </c>
      <c r="F932" s="289"/>
      <c r="G932" s="289"/>
      <c r="H932" s="289"/>
      <c r="I932" s="290" t="s">
        <v>205</v>
      </c>
      <c r="J932" s="290"/>
      <c r="K932" s="290"/>
      <c r="L932" s="47">
        <v>33</v>
      </c>
      <c r="M932" s="262">
        <v>945</v>
      </c>
      <c r="N932" s="47">
        <v>100</v>
      </c>
      <c r="O932" s="291">
        <v>315.04000000000002</v>
      </c>
      <c r="P932" s="291"/>
      <c r="Q932" s="291"/>
      <c r="R932" s="262">
        <v>28.64</v>
      </c>
      <c r="S932" s="262">
        <v>343.68</v>
      </c>
      <c r="U932" s="149">
        <f t="shared" si="87"/>
        <v>50762</v>
      </c>
      <c r="V932" s="146">
        <f t="shared" si="88"/>
        <v>12</v>
      </c>
      <c r="W932" s="150">
        <f t="shared" si="89"/>
        <v>21</v>
      </c>
      <c r="X932" s="146">
        <f t="shared" si="90"/>
        <v>21</v>
      </c>
    </row>
    <row r="933" spans="1:24" ht="9.75" customHeight="1" x14ac:dyDescent="0.25">
      <c r="A933" s="288">
        <v>662</v>
      </c>
      <c r="B933" s="288"/>
      <c r="D933" s="258" t="s">
        <v>68</v>
      </c>
      <c r="E933" s="289">
        <v>38748</v>
      </c>
      <c r="F933" s="289"/>
      <c r="G933" s="289"/>
      <c r="H933" s="289"/>
      <c r="I933" s="290" t="s">
        <v>205</v>
      </c>
      <c r="J933" s="290"/>
      <c r="K933" s="290"/>
      <c r="L933" s="47">
        <v>33</v>
      </c>
      <c r="M933" s="262">
        <v>697.5</v>
      </c>
      <c r="N933" s="47">
        <v>100</v>
      </c>
      <c r="O933" s="291">
        <v>230.78</v>
      </c>
      <c r="P933" s="291"/>
      <c r="Q933" s="291"/>
      <c r="R933" s="262">
        <v>21.14</v>
      </c>
      <c r="S933" s="262">
        <v>251.92000000000002</v>
      </c>
      <c r="U933" s="149">
        <f t="shared" si="87"/>
        <v>50793</v>
      </c>
      <c r="V933" s="146">
        <f t="shared" si="88"/>
        <v>11.916666666666666</v>
      </c>
      <c r="W933" s="150">
        <f t="shared" si="89"/>
        <v>21.083333333333336</v>
      </c>
      <c r="X933" s="146">
        <f t="shared" si="90"/>
        <v>21.083333333333336</v>
      </c>
    </row>
    <row r="934" spans="1:24" ht="9.75" customHeight="1" x14ac:dyDescent="0.25">
      <c r="A934" s="288">
        <v>665</v>
      </c>
      <c r="B934" s="288"/>
      <c r="D934" s="258" t="s">
        <v>68</v>
      </c>
      <c r="E934" s="289">
        <v>38776</v>
      </c>
      <c r="F934" s="289"/>
      <c r="G934" s="289"/>
      <c r="H934" s="289"/>
      <c r="I934" s="290" t="s">
        <v>205</v>
      </c>
      <c r="J934" s="290"/>
      <c r="K934" s="290"/>
      <c r="L934" s="47">
        <v>33</v>
      </c>
      <c r="M934" s="262">
        <v>259.38</v>
      </c>
      <c r="N934" s="47">
        <v>100</v>
      </c>
      <c r="O934" s="291">
        <v>85.15</v>
      </c>
      <c r="P934" s="291"/>
      <c r="Q934" s="291"/>
      <c r="R934" s="262">
        <v>7.86</v>
      </c>
      <c r="S934" s="262">
        <v>93.01</v>
      </c>
      <c r="U934" s="149">
        <f t="shared" si="87"/>
        <v>50821</v>
      </c>
      <c r="V934" s="146">
        <f t="shared" si="88"/>
        <v>11.83611111111111</v>
      </c>
      <c r="W934" s="150">
        <f t="shared" si="89"/>
        <v>21.163888888888891</v>
      </c>
      <c r="X934" s="146">
        <f t="shared" si="90"/>
        <v>21.163888888888891</v>
      </c>
    </row>
    <row r="935" spans="1:24" ht="9.75" customHeight="1" x14ac:dyDescent="0.25">
      <c r="A935" s="288">
        <v>666</v>
      </c>
      <c r="B935" s="288"/>
      <c r="D935" s="258" t="s">
        <v>68</v>
      </c>
      <c r="E935" s="289">
        <v>38776</v>
      </c>
      <c r="F935" s="289"/>
      <c r="G935" s="289"/>
      <c r="H935" s="289"/>
      <c r="I935" s="290" t="s">
        <v>205</v>
      </c>
      <c r="J935" s="290"/>
      <c r="K935" s="290"/>
      <c r="L935" s="47">
        <v>33</v>
      </c>
      <c r="M935" s="262">
        <v>622.5</v>
      </c>
      <c r="N935" s="47">
        <v>100</v>
      </c>
      <c r="O935" s="291">
        <v>204.32</v>
      </c>
      <c r="P935" s="291"/>
      <c r="Q935" s="291"/>
      <c r="R935" s="262">
        <v>18.86</v>
      </c>
      <c r="S935" s="262">
        <v>223.18</v>
      </c>
      <c r="U935" s="149">
        <f t="shared" si="87"/>
        <v>50821</v>
      </c>
      <c r="V935" s="146">
        <f t="shared" si="88"/>
        <v>11.83611111111111</v>
      </c>
      <c r="W935" s="150">
        <f t="shared" si="89"/>
        <v>21.163888888888891</v>
      </c>
      <c r="X935" s="146">
        <f t="shared" si="90"/>
        <v>21.163888888888891</v>
      </c>
    </row>
    <row r="936" spans="1:24" ht="9.75" customHeight="1" x14ac:dyDescent="0.25">
      <c r="A936" s="288">
        <v>668</v>
      </c>
      <c r="B936" s="288"/>
      <c r="D936" s="258" t="s">
        <v>68</v>
      </c>
      <c r="E936" s="289">
        <v>38807</v>
      </c>
      <c r="F936" s="289"/>
      <c r="G936" s="289"/>
      <c r="H936" s="289"/>
      <c r="I936" s="290" t="s">
        <v>205</v>
      </c>
      <c r="J936" s="290"/>
      <c r="K936" s="290"/>
      <c r="L936" s="47">
        <v>33</v>
      </c>
      <c r="M936" s="262">
        <v>221.65</v>
      </c>
      <c r="N936" s="47">
        <v>100</v>
      </c>
      <c r="O936" s="291">
        <v>72.239999999999995</v>
      </c>
      <c r="P936" s="291"/>
      <c r="Q936" s="291"/>
      <c r="R936" s="262">
        <v>6.72</v>
      </c>
      <c r="S936" s="262">
        <v>78.959999999999994</v>
      </c>
      <c r="U936" s="149">
        <f t="shared" si="87"/>
        <v>50852</v>
      </c>
      <c r="V936" s="146">
        <f t="shared" si="88"/>
        <v>11.75</v>
      </c>
      <c r="W936" s="150">
        <f t="shared" si="89"/>
        <v>21.25</v>
      </c>
      <c r="X936" s="146">
        <f t="shared" si="90"/>
        <v>21.25</v>
      </c>
    </row>
    <row r="937" spans="1:24" ht="9.75" customHeight="1" x14ac:dyDescent="0.25">
      <c r="A937" s="288">
        <v>669</v>
      </c>
      <c r="B937" s="288"/>
      <c r="D937" s="258" t="s">
        <v>68</v>
      </c>
      <c r="E937" s="289">
        <v>38807</v>
      </c>
      <c r="F937" s="289"/>
      <c r="G937" s="289"/>
      <c r="H937" s="289"/>
      <c r="I937" s="290" t="s">
        <v>205</v>
      </c>
      <c r="J937" s="290"/>
      <c r="K937" s="290"/>
      <c r="L937" s="47">
        <v>33</v>
      </c>
      <c r="M937" s="262">
        <v>465</v>
      </c>
      <c r="N937" s="47">
        <v>100</v>
      </c>
      <c r="O937" s="291">
        <v>151.47</v>
      </c>
      <c r="P937" s="291"/>
      <c r="Q937" s="291"/>
      <c r="R937" s="262">
        <v>14.09</v>
      </c>
      <c r="S937" s="262">
        <v>165.56</v>
      </c>
      <c r="U937" s="149">
        <f t="shared" si="87"/>
        <v>50852</v>
      </c>
      <c r="V937" s="146">
        <f t="shared" si="88"/>
        <v>11.75</v>
      </c>
      <c r="W937" s="150">
        <f t="shared" si="89"/>
        <v>21.25</v>
      </c>
      <c r="X937" s="146">
        <f t="shared" si="90"/>
        <v>21.25</v>
      </c>
    </row>
    <row r="938" spans="1:24" ht="9.75" customHeight="1" x14ac:dyDescent="0.25">
      <c r="A938" s="288">
        <v>672</v>
      </c>
      <c r="B938" s="288"/>
      <c r="D938" s="258" t="s">
        <v>68</v>
      </c>
      <c r="E938" s="289">
        <v>38837</v>
      </c>
      <c r="F938" s="289"/>
      <c r="G938" s="289"/>
      <c r="H938" s="289"/>
      <c r="I938" s="290" t="s">
        <v>205</v>
      </c>
      <c r="J938" s="290"/>
      <c r="K938" s="290"/>
      <c r="L938" s="47">
        <v>33</v>
      </c>
      <c r="M938" s="262">
        <v>100.39</v>
      </c>
      <c r="N938" s="47">
        <v>100</v>
      </c>
      <c r="O938" s="291">
        <v>32.43</v>
      </c>
      <c r="P938" s="291"/>
      <c r="Q938" s="291"/>
      <c r="R938" s="262">
        <v>3.04</v>
      </c>
      <c r="S938" s="262">
        <v>35.47</v>
      </c>
      <c r="U938" s="149">
        <f t="shared" si="87"/>
        <v>50882</v>
      </c>
      <c r="V938" s="146">
        <f t="shared" si="88"/>
        <v>11.666666666666666</v>
      </c>
      <c r="W938" s="150">
        <f t="shared" si="89"/>
        <v>21.333333333333336</v>
      </c>
      <c r="X938" s="146">
        <f t="shared" si="90"/>
        <v>21.333333333333336</v>
      </c>
    </row>
    <row r="939" spans="1:24" ht="9.75" customHeight="1" x14ac:dyDescent="0.25">
      <c r="A939" s="288">
        <v>673</v>
      </c>
      <c r="B939" s="288"/>
      <c r="D939" s="258" t="s">
        <v>68</v>
      </c>
      <c r="E939" s="289">
        <v>38837</v>
      </c>
      <c r="F939" s="289"/>
      <c r="G939" s="289"/>
      <c r="H939" s="289"/>
      <c r="I939" s="290" t="s">
        <v>205</v>
      </c>
      <c r="J939" s="290"/>
      <c r="K939" s="290"/>
      <c r="L939" s="47">
        <v>33</v>
      </c>
      <c r="M939" s="262">
        <v>592.5</v>
      </c>
      <c r="N939" s="47">
        <v>100</v>
      </c>
      <c r="O939" s="291">
        <v>191.47</v>
      </c>
      <c r="P939" s="291"/>
      <c r="Q939" s="291"/>
      <c r="R939" s="262">
        <v>17.95</v>
      </c>
      <c r="S939" s="262">
        <v>209.42000000000002</v>
      </c>
      <c r="U939" s="149">
        <f t="shared" si="87"/>
        <v>50882</v>
      </c>
      <c r="V939" s="146">
        <f t="shared" si="88"/>
        <v>11.666666666666666</v>
      </c>
      <c r="W939" s="150">
        <f t="shared" si="89"/>
        <v>21.333333333333336</v>
      </c>
      <c r="X939" s="146">
        <f t="shared" si="90"/>
        <v>21.333333333333336</v>
      </c>
    </row>
    <row r="940" spans="1:24" ht="9.75" customHeight="1" x14ac:dyDescent="0.25">
      <c r="A940" s="288">
        <v>675</v>
      </c>
      <c r="B940" s="288"/>
      <c r="D940" s="258" t="s">
        <v>68</v>
      </c>
      <c r="E940" s="289">
        <v>38868</v>
      </c>
      <c r="F940" s="289"/>
      <c r="G940" s="289"/>
      <c r="H940" s="289"/>
      <c r="I940" s="290" t="s">
        <v>205</v>
      </c>
      <c r="J940" s="290"/>
      <c r="K940" s="290"/>
      <c r="L940" s="47">
        <v>33</v>
      </c>
      <c r="M940" s="262">
        <v>682.5</v>
      </c>
      <c r="N940" s="47">
        <v>100</v>
      </c>
      <c r="O940" s="291">
        <v>218.86</v>
      </c>
      <c r="P940" s="291"/>
      <c r="Q940" s="291"/>
      <c r="R940" s="262">
        <v>20.68</v>
      </c>
      <c r="S940" s="262">
        <v>239.54</v>
      </c>
      <c r="U940" s="149">
        <f t="shared" si="87"/>
        <v>50913</v>
      </c>
      <c r="V940" s="146">
        <f t="shared" si="88"/>
        <v>11.583333333333334</v>
      </c>
      <c r="W940" s="150">
        <f t="shared" si="89"/>
        <v>21.416666666666664</v>
      </c>
      <c r="X940" s="146">
        <f t="shared" si="90"/>
        <v>21.416666666666664</v>
      </c>
    </row>
    <row r="941" spans="1:24" ht="9.75" customHeight="1" x14ac:dyDescent="0.25">
      <c r="A941" s="288">
        <v>678</v>
      </c>
      <c r="B941" s="288"/>
      <c r="D941" s="258" t="s">
        <v>68</v>
      </c>
      <c r="E941" s="289">
        <v>38898</v>
      </c>
      <c r="F941" s="289"/>
      <c r="G941" s="289"/>
      <c r="H941" s="289"/>
      <c r="I941" s="290" t="s">
        <v>205</v>
      </c>
      <c r="J941" s="290"/>
      <c r="K941" s="290"/>
      <c r="L941" s="47">
        <v>33</v>
      </c>
      <c r="M941" s="262">
        <v>66.8</v>
      </c>
      <c r="N941" s="47">
        <v>100</v>
      </c>
      <c r="O941" s="291">
        <v>21.21</v>
      </c>
      <c r="P941" s="291"/>
      <c r="Q941" s="291"/>
      <c r="R941" s="262">
        <v>2.02</v>
      </c>
      <c r="S941" s="262">
        <v>23.23</v>
      </c>
      <c r="U941" s="149">
        <f t="shared" si="87"/>
        <v>50943</v>
      </c>
      <c r="V941" s="146">
        <f t="shared" si="88"/>
        <v>11.5</v>
      </c>
      <c r="W941" s="150">
        <f t="shared" si="89"/>
        <v>21.5</v>
      </c>
      <c r="X941" s="146">
        <f t="shared" si="90"/>
        <v>21.5</v>
      </c>
    </row>
    <row r="942" spans="1:24" ht="9.75" customHeight="1" x14ac:dyDescent="0.25">
      <c r="A942" s="288">
        <v>679</v>
      </c>
      <c r="B942" s="288"/>
      <c r="D942" s="258" t="s">
        <v>68</v>
      </c>
      <c r="E942" s="289">
        <v>38898</v>
      </c>
      <c r="F942" s="289"/>
      <c r="G942" s="289"/>
      <c r="H942" s="289"/>
      <c r="I942" s="290" t="s">
        <v>205</v>
      </c>
      <c r="J942" s="290"/>
      <c r="K942" s="290"/>
      <c r="L942" s="47">
        <v>33</v>
      </c>
      <c r="M942" s="262">
        <v>270</v>
      </c>
      <c r="N942" s="47">
        <v>100</v>
      </c>
      <c r="O942" s="291">
        <v>85.89</v>
      </c>
      <c r="P942" s="291"/>
      <c r="Q942" s="291"/>
      <c r="R942" s="262">
        <v>8.18</v>
      </c>
      <c r="S942" s="262">
        <v>94.070000000000007</v>
      </c>
      <c r="U942" s="149">
        <f t="shared" si="87"/>
        <v>50943</v>
      </c>
      <c r="V942" s="146">
        <f t="shared" si="88"/>
        <v>11.5</v>
      </c>
      <c r="W942" s="150">
        <f t="shared" si="89"/>
        <v>21.5</v>
      </c>
      <c r="X942" s="146">
        <f t="shared" si="90"/>
        <v>21.5</v>
      </c>
    </row>
    <row r="943" spans="1:24" ht="9.75" customHeight="1" x14ac:dyDescent="0.25">
      <c r="A943" s="288">
        <v>683</v>
      </c>
      <c r="B943" s="288"/>
      <c r="D943" s="258" t="s">
        <v>391</v>
      </c>
      <c r="E943" s="289">
        <v>38929</v>
      </c>
      <c r="F943" s="289"/>
      <c r="G943" s="289"/>
      <c r="H943" s="289"/>
      <c r="I943" s="290" t="s">
        <v>205</v>
      </c>
      <c r="J943" s="290"/>
      <c r="K943" s="290"/>
      <c r="L943" s="47">
        <v>33</v>
      </c>
      <c r="M943" s="262">
        <v>1219.02</v>
      </c>
      <c r="N943" s="47">
        <v>100</v>
      </c>
      <c r="O943" s="291">
        <v>384.79</v>
      </c>
      <c r="P943" s="291"/>
      <c r="Q943" s="291"/>
      <c r="R943" s="262">
        <v>36.94</v>
      </c>
      <c r="S943" s="262">
        <v>421.73</v>
      </c>
      <c r="U943" s="149">
        <f t="shared" si="87"/>
        <v>50974</v>
      </c>
      <c r="V943" s="146">
        <f t="shared" si="88"/>
        <v>11.416666666666666</v>
      </c>
      <c r="W943" s="150">
        <f t="shared" si="89"/>
        <v>21.583333333333336</v>
      </c>
      <c r="X943" s="146">
        <f t="shared" si="90"/>
        <v>21.583333333333336</v>
      </c>
    </row>
    <row r="944" spans="1:24" ht="9.75" customHeight="1" x14ac:dyDescent="0.25">
      <c r="A944" s="288">
        <v>688</v>
      </c>
      <c r="B944" s="288"/>
      <c r="D944" s="258" t="s">
        <v>391</v>
      </c>
      <c r="E944" s="289">
        <v>38960</v>
      </c>
      <c r="F944" s="289"/>
      <c r="G944" s="289"/>
      <c r="H944" s="289"/>
      <c r="I944" s="290" t="s">
        <v>205</v>
      </c>
      <c r="J944" s="290"/>
      <c r="K944" s="290"/>
      <c r="L944" s="47">
        <v>33</v>
      </c>
      <c r="M944" s="262">
        <v>0</v>
      </c>
      <c r="N944" s="47">
        <v>100</v>
      </c>
      <c r="O944" s="291">
        <v>0</v>
      </c>
      <c r="P944" s="291"/>
      <c r="Q944" s="291"/>
      <c r="R944" s="262">
        <v>0</v>
      </c>
      <c r="S944" s="262">
        <v>0</v>
      </c>
      <c r="U944" s="149">
        <f t="shared" si="87"/>
        <v>51005</v>
      </c>
      <c r="V944" s="146">
        <f t="shared" si="88"/>
        <v>11.333333333333334</v>
      </c>
      <c r="W944" s="150">
        <f t="shared" si="89"/>
        <v>21.666666666666664</v>
      </c>
      <c r="X944" s="146">
        <f t="shared" si="90"/>
        <v>21.666666666666664</v>
      </c>
    </row>
    <row r="945" spans="1:24" ht="9.75" customHeight="1" x14ac:dyDescent="0.25">
      <c r="A945" s="288">
        <v>691</v>
      </c>
      <c r="B945" s="288"/>
      <c r="D945" s="258" t="s">
        <v>68</v>
      </c>
      <c r="E945" s="289">
        <v>38990</v>
      </c>
      <c r="F945" s="289"/>
      <c r="G945" s="289"/>
      <c r="H945" s="289"/>
      <c r="I945" s="290" t="s">
        <v>205</v>
      </c>
      <c r="J945" s="290"/>
      <c r="K945" s="290"/>
      <c r="L945" s="47">
        <v>33</v>
      </c>
      <c r="M945" s="262">
        <v>1085.49</v>
      </c>
      <c r="N945" s="47">
        <v>100</v>
      </c>
      <c r="O945" s="291">
        <v>337.12</v>
      </c>
      <c r="P945" s="291"/>
      <c r="Q945" s="291"/>
      <c r="R945" s="262">
        <v>32.89</v>
      </c>
      <c r="S945" s="262">
        <v>370.01</v>
      </c>
      <c r="U945" s="149">
        <f t="shared" si="87"/>
        <v>51035</v>
      </c>
      <c r="V945" s="146">
        <f t="shared" si="88"/>
        <v>11.25</v>
      </c>
      <c r="W945" s="150">
        <f t="shared" si="89"/>
        <v>21.75</v>
      </c>
      <c r="X945" s="146">
        <f t="shared" si="90"/>
        <v>21.75</v>
      </c>
    </row>
    <row r="946" spans="1:24" ht="9.75" customHeight="1" x14ac:dyDescent="0.25">
      <c r="A946" s="288">
        <v>696</v>
      </c>
      <c r="B946" s="288"/>
      <c r="D946" s="258" t="s">
        <v>68</v>
      </c>
      <c r="E946" s="289">
        <v>39021</v>
      </c>
      <c r="F946" s="289"/>
      <c r="G946" s="289"/>
      <c r="H946" s="289"/>
      <c r="I946" s="290" t="s">
        <v>205</v>
      </c>
      <c r="J946" s="290"/>
      <c r="K946" s="290"/>
      <c r="L946" s="47">
        <v>33</v>
      </c>
      <c r="M946" s="262">
        <v>1097.01</v>
      </c>
      <c r="N946" s="47">
        <v>100</v>
      </c>
      <c r="O946" s="291">
        <v>337.94</v>
      </c>
      <c r="P946" s="291"/>
      <c r="Q946" s="291"/>
      <c r="R946" s="262">
        <v>33.24</v>
      </c>
      <c r="S946" s="262">
        <v>371.18</v>
      </c>
      <c r="U946" s="149">
        <f t="shared" si="87"/>
        <v>51066</v>
      </c>
      <c r="V946" s="146">
        <f t="shared" si="88"/>
        <v>11.166666666666666</v>
      </c>
      <c r="W946" s="150">
        <f t="shared" si="89"/>
        <v>21.833333333333336</v>
      </c>
      <c r="X946" s="146">
        <f t="shared" si="90"/>
        <v>21.833333333333336</v>
      </c>
    </row>
    <row r="947" spans="1:24" ht="9.75" customHeight="1" x14ac:dyDescent="0.25">
      <c r="A947" s="288">
        <v>698</v>
      </c>
      <c r="B947" s="288"/>
      <c r="D947" s="258" t="s">
        <v>68</v>
      </c>
      <c r="E947" s="289">
        <v>39043</v>
      </c>
      <c r="F947" s="289"/>
      <c r="G947" s="289"/>
      <c r="H947" s="289"/>
      <c r="I947" s="290" t="s">
        <v>205</v>
      </c>
      <c r="J947" s="290"/>
      <c r="K947" s="290"/>
      <c r="L947" s="47">
        <v>33</v>
      </c>
      <c r="M947" s="262">
        <v>617.5</v>
      </c>
      <c r="N947" s="47">
        <v>100</v>
      </c>
      <c r="O947" s="291">
        <v>188.66</v>
      </c>
      <c r="P947" s="291"/>
      <c r="Q947" s="291"/>
      <c r="R947" s="262">
        <v>18.71</v>
      </c>
      <c r="S947" s="262">
        <v>207.37</v>
      </c>
      <c r="U947" s="149">
        <f t="shared" si="87"/>
        <v>51088</v>
      </c>
      <c r="V947" s="146">
        <f t="shared" si="88"/>
        <v>11.108333333333333</v>
      </c>
      <c r="W947" s="150">
        <f t="shared" si="89"/>
        <v>21.891666666666666</v>
      </c>
      <c r="X947" s="146">
        <f t="shared" si="90"/>
        <v>21.891666666666666</v>
      </c>
    </row>
    <row r="948" spans="1:24" ht="9.75" customHeight="1" x14ac:dyDescent="0.25">
      <c r="A948" s="288">
        <v>699</v>
      </c>
      <c r="B948" s="288"/>
      <c r="D948" s="258" t="s">
        <v>68</v>
      </c>
      <c r="E948" s="289">
        <v>39051</v>
      </c>
      <c r="F948" s="289"/>
      <c r="G948" s="289"/>
      <c r="H948" s="289"/>
      <c r="I948" s="290" t="s">
        <v>205</v>
      </c>
      <c r="J948" s="290"/>
      <c r="K948" s="290"/>
      <c r="L948" s="47">
        <v>33</v>
      </c>
      <c r="M948" s="262">
        <v>1416.66</v>
      </c>
      <c r="N948" s="47">
        <v>100</v>
      </c>
      <c r="O948" s="291">
        <v>432.88</v>
      </c>
      <c r="P948" s="291"/>
      <c r="Q948" s="291"/>
      <c r="R948" s="262">
        <v>42.93</v>
      </c>
      <c r="S948" s="262">
        <v>475.81</v>
      </c>
      <c r="U948" s="149">
        <f t="shared" si="87"/>
        <v>51096</v>
      </c>
      <c r="V948" s="146">
        <f t="shared" si="88"/>
        <v>11.083333333333334</v>
      </c>
      <c r="W948" s="150">
        <f t="shared" si="89"/>
        <v>21.916666666666664</v>
      </c>
      <c r="X948" s="146">
        <f t="shared" si="90"/>
        <v>21.916666666666664</v>
      </c>
    </row>
    <row r="949" spans="1:24" ht="9.75" customHeight="1" x14ac:dyDescent="0.25">
      <c r="A949" s="288">
        <v>702</v>
      </c>
      <c r="B949" s="288"/>
      <c r="D949" s="258" t="s">
        <v>68</v>
      </c>
      <c r="E949" s="289">
        <v>38960</v>
      </c>
      <c r="F949" s="289"/>
      <c r="G949" s="289"/>
      <c r="H949" s="289"/>
      <c r="I949" s="290" t="s">
        <v>205</v>
      </c>
      <c r="J949" s="290"/>
      <c r="K949" s="290"/>
      <c r="L949" s="47">
        <v>33</v>
      </c>
      <c r="M949" s="262">
        <v>772.5</v>
      </c>
      <c r="N949" s="47">
        <v>100</v>
      </c>
      <c r="O949" s="291">
        <v>241.9</v>
      </c>
      <c r="P949" s="291"/>
      <c r="Q949" s="291"/>
      <c r="R949" s="262">
        <v>23.41</v>
      </c>
      <c r="S949" s="262">
        <v>265.31</v>
      </c>
      <c r="U949" s="149">
        <f t="shared" si="87"/>
        <v>51005</v>
      </c>
      <c r="V949" s="146">
        <f t="shared" si="88"/>
        <v>11.333333333333334</v>
      </c>
      <c r="W949" s="150">
        <f t="shared" si="89"/>
        <v>21.666666666666664</v>
      </c>
      <c r="X949" s="146">
        <f t="shared" si="90"/>
        <v>21.666666666666664</v>
      </c>
    </row>
    <row r="950" spans="1:24" ht="9.75" customHeight="1" x14ac:dyDescent="0.25">
      <c r="A950" s="288">
        <v>705</v>
      </c>
      <c r="B950" s="288"/>
      <c r="D950" s="258" t="s">
        <v>68</v>
      </c>
      <c r="E950" s="289">
        <v>39082</v>
      </c>
      <c r="F950" s="289"/>
      <c r="G950" s="289"/>
      <c r="H950" s="289"/>
      <c r="I950" s="290" t="s">
        <v>324</v>
      </c>
      <c r="J950" s="290"/>
      <c r="K950" s="290"/>
      <c r="L950" s="47">
        <v>33</v>
      </c>
      <c r="M950" s="262">
        <v>277.5</v>
      </c>
      <c r="N950" s="47">
        <v>100</v>
      </c>
      <c r="O950" s="291">
        <v>140.97</v>
      </c>
      <c r="P950" s="291"/>
      <c r="Q950" s="291"/>
      <c r="R950" s="262">
        <v>11.38</v>
      </c>
      <c r="S950" s="262">
        <v>152.35</v>
      </c>
      <c r="U950" s="149">
        <f t="shared" si="87"/>
        <v>51127</v>
      </c>
      <c r="V950" s="146">
        <f t="shared" si="88"/>
        <v>11</v>
      </c>
      <c r="W950" s="150">
        <f t="shared" si="89"/>
        <v>22</v>
      </c>
      <c r="X950" s="146">
        <f t="shared" si="90"/>
        <v>22</v>
      </c>
    </row>
    <row r="951" spans="1:24" ht="9.75" customHeight="1" x14ac:dyDescent="0.25">
      <c r="A951" s="288">
        <v>715</v>
      </c>
      <c r="B951" s="288"/>
      <c r="D951" s="258" t="s">
        <v>392</v>
      </c>
      <c r="E951" s="289">
        <v>39113</v>
      </c>
      <c r="F951" s="289"/>
      <c r="G951" s="289"/>
      <c r="H951" s="289"/>
      <c r="I951" s="290" t="s">
        <v>205</v>
      </c>
      <c r="J951" s="290"/>
      <c r="K951" s="290"/>
      <c r="L951" s="47">
        <v>33</v>
      </c>
      <c r="M951" s="262">
        <v>75.08</v>
      </c>
      <c r="N951" s="47">
        <v>100</v>
      </c>
      <c r="O951" s="291">
        <v>22.61</v>
      </c>
      <c r="P951" s="291"/>
      <c r="Q951" s="291"/>
      <c r="R951" s="262">
        <v>2.2799999999999998</v>
      </c>
      <c r="S951" s="262">
        <v>24.89</v>
      </c>
      <c r="U951" s="149">
        <f t="shared" si="87"/>
        <v>51158</v>
      </c>
      <c r="V951" s="146">
        <f t="shared" si="88"/>
        <v>10.916666666666666</v>
      </c>
      <c r="W951" s="150">
        <f t="shared" si="89"/>
        <v>22.083333333333336</v>
      </c>
      <c r="X951" s="146">
        <f t="shared" ref="X951:X982" si="91">IF(W951=0,0,W951)</f>
        <v>22.083333333333336</v>
      </c>
    </row>
    <row r="952" spans="1:24" ht="9.75" customHeight="1" x14ac:dyDescent="0.25">
      <c r="A952" s="288">
        <v>716</v>
      </c>
      <c r="B952" s="288"/>
      <c r="D952" s="258" t="s">
        <v>393</v>
      </c>
      <c r="E952" s="289">
        <v>39113</v>
      </c>
      <c r="F952" s="289"/>
      <c r="G952" s="289"/>
      <c r="H952" s="289"/>
      <c r="I952" s="290" t="s">
        <v>205</v>
      </c>
      <c r="J952" s="290"/>
      <c r="K952" s="290"/>
      <c r="L952" s="47">
        <v>33</v>
      </c>
      <c r="M952" s="262">
        <v>52.5</v>
      </c>
      <c r="N952" s="47">
        <v>100</v>
      </c>
      <c r="O952" s="291">
        <v>15.77</v>
      </c>
      <c r="P952" s="291"/>
      <c r="Q952" s="291"/>
      <c r="R952" s="262">
        <v>1.59</v>
      </c>
      <c r="S952" s="262">
        <v>17.36</v>
      </c>
      <c r="U952" s="149">
        <f t="shared" si="87"/>
        <v>51158</v>
      </c>
      <c r="V952" s="146">
        <f t="shared" si="88"/>
        <v>10.916666666666666</v>
      </c>
      <c r="W952" s="150">
        <f t="shared" si="89"/>
        <v>22.083333333333336</v>
      </c>
      <c r="X952" s="146">
        <f t="shared" si="91"/>
        <v>22.083333333333336</v>
      </c>
    </row>
    <row r="953" spans="1:24" ht="9.75" customHeight="1" x14ac:dyDescent="0.25">
      <c r="A953" s="288">
        <v>718</v>
      </c>
      <c r="B953" s="288"/>
      <c r="D953" s="258" t="s">
        <v>392</v>
      </c>
      <c r="E953" s="289">
        <v>39141</v>
      </c>
      <c r="F953" s="289"/>
      <c r="G953" s="289"/>
      <c r="H953" s="289"/>
      <c r="I953" s="290" t="s">
        <v>205</v>
      </c>
      <c r="J953" s="290"/>
      <c r="K953" s="290"/>
      <c r="L953" s="47">
        <v>33</v>
      </c>
      <c r="M953" s="262">
        <v>7.25</v>
      </c>
      <c r="N953" s="47">
        <v>100</v>
      </c>
      <c r="O953" s="291">
        <v>2.16</v>
      </c>
      <c r="P953" s="291"/>
      <c r="Q953" s="291"/>
      <c r="R953" s="262">
        <v>0.22</v>
      </c>
      <c r="S953" s="262">
        <v>2.38</v>
      </c>
      <c r="U953" s="149">
        <f t="shared" si="87"/>
        <v>51186</v>
      </c>
      <c r="V953" s="146">
        <f t="shared" si="88"/>
        <v>10.83611111111111</v>
      </c>
      <c r="W953" s="150">
        <f t="shared" si="89"/>
        <v>22.163888888888891</v>
      </c>
      <c r="X953" s="146">
        <f t="shared" si="91"/>
        <v>22.163888888888891</v>
      </c>
    </row>
    <row r="954" spans="1:24" ht="9.75" customHeight="1" x14ac:dyDescent="0.25">
      <c r="A954" s="288">
        <v>721</v>
      </c>
      <c r="B954" s="288"/>
      <c r="D954" s="258" t="s">
        <v>68</v>
      </c>
      <c r="E954" s="289">
        <v>39691</v>
      </c>
      <c r="F954" s="289"/>
      <c r="G954" s="289"/>
      <c r="H954" s="289"/>
      <c r="I954" s="290" t="s">
        <v>205</v>
      </c>
      <c r="J954" s="290"/>
      <c r="K954" s="290"/>
      <c r="L954" s="47">
        <v>33</v>
      </c>
      <c r="M954" s="262">
        <v>858.31000000000006</v>
      </c>
      <c r="N954" s="47">
        <v>100</v>
      </c>
      <c r="O954" s="291">
        <v>216.75</v>
      </c>
      <c r="P954" s="291"/>
      <c r="Q954" s="291"/>
      <c r="R954" s="262">
        <v>26.01</v>
      </c>
      <c r="S954" s="262">
        <v>242.76</v>
      </c>
      <c r="U954" s="149">
        <f t="shared" si="87"/>
        <v>51736</v>
      </c>
      <c r="V954" s="146">
        <f t="shared" si="88"/>
        <v>9.3333333333333339</v>
      </c>
      <c r="W954" s="150">
        <f t="shared" si="89"/>
        <v>23.666666666666664</v>
      </c>
      <c r="X954" s="146">
        <f t="shared" si="91"/>
        <v>23.666666666666664</v>
      </c>
    </row>
    <row r="955" spans="1:24" ht="9.75" customHeight="1" x14ac:dyDescent="0.25">
      <c r="A955" s="288">
        <v>722</v>
      </c>
      <c r="B955" s="288"/>
      <c r="D955" s="258" t="s">
        <v>393</v>
      </c>
      <c r="E955" s="289">
        <v>39172</v>
      </c>
      <c r="F955" s="289"/>
      <c r="G955" s="289"/>
      <c r="H955" s="289"/>
      <c r="I955" s="290" t="s">
        <v>205</v>
      </c>
      <c r="J955" s="290"/>
      <c r="K955" s="290"/>
      <c r="L955" s="47">
        <v>33</v>
      </c>
      <c r="M955" s="262">
        <v>52.5</v>
      </c>
      <c r="N955" s="47">
        <v>100</v>
      </c>
      <c r="O955" s="291">
        <v>15.5</v>
      </c>
      <c r="P955" s="291"/>
      <c r="Q955" s="291"/>
      <c r="R955" s="262">
        <v>1.59</v>
      </c>
      <c r="S955" s="262">
        <v>17.09</v>
      </c>
      <c r="U955" s="149">
        <f t="shared" si="87"/>
        <v>51217</v>
      </c>
      <c r="V955" s="146">
        <f t="shared" si="88"/>
        <v>10.75</v>
      </c>
      <c r="W955" s="150">
        <f t="shared" si="89"/>
        <v>22.25</v>
      </c>
      <c r="X955" s="146">
        <f t="shared" si="91"/>
        <v>22.25</v>
      </c>
    </row>
    <row r="956" spans="1:24" ht="9.75" customHeight="1" x14ac:dyDescent="0.25">
      <c r="A956" s="288">
        <v>728</v>
      </c>
      <c r="B956" s="288"/>
      <c r="D956" s="258" t="s">
        <v>68</v>
      </c>
      <c r="E956" s="289">
        <v>39233</v>
      </c>
      <c r="F956" s="289"/>
      <c r="G956" s="289"/>
      <c r="H956" s="289"/>
      <c r="I956" s="290" t="s">
        <v>205</v>
      </c>
      <c r="J956" s="290"/>
      <c r="K956" s="290"/>
      <c r="L956" s="47">
        <v>33</v>
      </c>
      <c r="M956" s="262">
        <v>90</v>
      </c>
      <c r="N956" s="47">
        <v>100</v>
      </c>
      <c r="O956" s="291">
        <v>26.16</v>
      </c>
      <c r="P956" s="291"/>
      <c r="Q956" s="291"/>
      <c r="R956" s="262">
        <v>2.73</v>
      </c>
      <c r="S956" s="262">
        <v>28.89</v>
      </c>
      <c r="U956" s="149">
        <f t="shared" si="87"/>
        <v>51278</v>
      </c>
      <c r="V956" s="146">
        <f t="shared" si="88"/>
        <v>10.583333333333334</v>
      </c>
      <c r="W956" s="150">
        <f t="shared" si="89"/>
        <v>22.416666666666664</v>
      </c>
      <c r="X956" s="146">
        <f t="shared" si="91"/>
        <v>22.416666666666664</v>
      </c>
    </row>
    <row r="957" spans="1:24" ht="9.75" customHeight="1" x14ac:dyDescent="0.25">
      <c r="A957" s="288">
        <v>732</v>
      </c>
      <c r="B957" s="288"/>
      <c r="D957" s="258" t="s">
        <v>68</v>
      </c>
      <c r="E957" s="289">
        <v>39263</v>
      </c>
      <c r="F957" s="289"/>
      <c r="G957" s="289"/>
      <c r="H957" s="289"/>
      <c r="I957" s="290" t="s">
        <v>205</v>
      </c>
      <c r="J957" s="290"/>
      <c r="K957" s="290"/>
      <c r="L957" s="47">
        <v>33</v>
      </c>
      <c r="M957" s="262">
        <v>510</v>
      </c>
      <c r="N957" s="47">
        <v>100</v>
      </c>
      <c r="O957" s="291">
        <v>146.78</v>
      </c>
      <c r="P957" s="291"/>
      <c r="Q957" s="291"/>
      <c r="R957" s="262">
        <v>15.450000000000001</v>
      </c>
      <c r="S957" s="262">
        <v>162.22999999999999</v>
      </c>
      <c r="U957" s="149">
        <f t="shared" si="87"/>
        <v>51308</v>
      </c>
      <c r="V957" s="146">
        <f t="shared" si="88"/>
        <v>10.5</v>
      </c>
      <c r="W957" s="150">
        <f t="shared" si="89"/>
        <v>22.5</v>
      </c>
      <c r="X957" s="146">
        <f t="shared" si="91"/>
        <v>22.5</v>
      </c>
    </row>
    <row r="958" spans="1:24" ht="9.75" customHeight="1" x14ac:dyDescent="0.25">
      <c r="A958" s="288">
        <v>733</v>
      </c>
      <c r="B958" s="288"/>
      <c r="D958" s="258" t="s">
        <v>68</v>
      </c>
      <c r="E958" s="289">
        <v>39721</v>
      </c>
      <c r="F958" s="289"/>
      <c r="G958" s="289"/>
      <c r="H958" s="289"/>
      <c r="I958" s="290" t="s">
        <v>205</v>
      </c>
      <c r="J958" s="290"/>
      <c r="K958" s="290"/>
      <c r="L958" s="47">
        <v>33</v>
      </c>
      <c r="M958" s="262">
        <v>1667.3500000000001</v>
      </c>
      <c r="N958" s="47">
        <v>100</v>
      </c>
      <c r="O958" s="291">
        <v>416.87</v>
      </c>
      <c r="P958" s="291"/>
      <c r="Q958" s="291"/>
      <c r="R958" s="262">
        <v>50.53</v>
      </c>
      <c r="S958" s="262">
        <v>467.40000000000003</v>
      </c>
      <c r="U958" s="149">
        <f t="shared" si="87"/>
        <v>51766</v>
      </c>
      <c r="V958" s="146">
        <f t="shared" si="88"/>
        <v>9.25</v>
      </c>
      <c r="W958" s="150">
        <f t="shared" si="89"/>
        <v>23.75</v>
      </c>
      <c r="X958" s="146">
        <f t="shared" si="91"/>
        <v>23.75</v>
      </c>
    </row>
    <row r="959" spans="1:24" ht="9.75" customHeight="1" x14ac:dyDescent="0.25">
      <c r="A959" s="288">
        <v>735</v>
      </c>
      <c r="B959" s="288"/>
      <c r="D959" s="258" t="s">
        <v>68</v>
      </c>
      <c r="E959" s="289">
        <v>39294</v>
      </c>
      <c r="F959" s="289"/>
      <c r="G959" s="289"/>
      <c r="H959" s="289"/>
      <c r="I959" s="290" t="s">
        <v>205</v>
      </c>
      <c r="J959" s="290"/>
      <c r="K959" s="290"/>
      <c r="L959" s="47">
        <v>33</v>
      </c>
      <c r="M959" s="262">
        <v>231.78</v>
      </c>
      <c r="N959" s="47">
        <v>100</v>
      </c>
      <c r="O959" s="291">
        <v>66.11</v>
      </c>
      <c r="P959" s="291"/>
      <c r="Q959" s="291"/>
      <c r="R959" s="262">
        <v>7.0200000000000005</v>
      </c>
      <c r="S959" s="262">
        <v>73.13</v>
      </c>
      <c r="U959" s="149">
        <f t="shared" si="87"/>
        <v>51339</v>
      </c>
      <c r="V959" s="146">
        <f t="shared" si="88"/>
        <v>10.416666666666666</v>
      </c>
      <c r="W959" s="150">
        <f t="shared" si="89"/>
        <v>22.583333333333336</v>
      </c>
      <c r="X959" s="146">
        <f t="shared" si="91"/>
        <v>22.583333333333336</v>
      </c>
    </row>
    <row r="960" spans="1:24" ht="9.75" customHeight="1" x14ac:dyDescent="0.25">
      <c r="A960" s="288">
        <v>740</v>
      </c>
      <c r="B960" s="288"/>
      <c r="D960" s="258" t="s">
        <v>68</v>
      </c>
      <c r="E960" s="289">
        <v>39325</v>
      </c>
      <c r="F960" s="289"/>
      <c r="G960" s="289"/>
      <c r="H960" s="289"/>
      <c r="I960" s="290" t="s">
        <v>205</v>
      </c>
      <c r="J960" s="290"/>
      <c r="K960" s="290"/>
      <c r="L960" s="47">
        <v>33</v>
      </c>
      <c r="M960" s="262">
        <v>360</v>
      </c>
      <c r="N960" s="47">
        <v>100</v>
      </c>
      <c r="O960" s="291">
        <v>101.83</v>
      </c>
      <c r="P960" s="291"/>
      <c r="Q960" s="291"/>
      <c r="R960" s="262">
        <v>10.91</v>
      </c>
      <c r="S960" s="262">
        <v>112.74000000000001</v>
      </c>
      <c r="U960" s="149">
        <f t="shared" si="87"/>
        <v>51370</v>
      </c>
      <c r="V960" s="146">
        <f t="shared" si="88"/>
        <v>10.333333333333334</v>
      </c>
      <c r="W960" s="150">
        <f t="shared" si="89"/>
        <v>22.666666666666664</v>
      </c>
      <c r="X960" s="146">
        <f t="shared" si="91"/>
        <v>22.666666666666664</v>
      </c>
    </row>
    <row r="961" spans="1:24" ht="9.75" customHeight="1" x14ac:dyDescent="0.25">
      <c r="A961" s="288">
        <v>742</v>
      </c>
      <c r="B961" s="288"/>
      <c r="D961" s="258" t="s">
        <v>68</v>
      </c>
      <c r="E961" s="289">
        <v>39355</v>
      </c>
      <c r="F961" s="289"/>
      <c r="G961" s="289"/>
      <c r="H961" s="289"/>
      <c r="I961" s="290" t="s">
        <v>205</v>
      </c>
      <c r="J961" s="290"/>
      <c r="K961" s="290"/>
      <c r="L961" s="47">
        <v>33</v>
      </c>
      <c r="M961" s="262">
        <v>259.98</v>
      </c>
      <c r="N961" s="47">
        <v>100</v>
      </c>
      <c r="O961" s="291">
        <v>72.89</v>
      </c>
      <c r="P961" s="291"/>
      <c r="Q961" s="291"/>
      <c r="R961" s="262">
        <v>7.88</v>
      </c>
      <c r="S961" s="262">
        <v>80.77</v>
      </c>
      <c r="U961" s="149">
        <f t="shared" si="87"/>
        <v>51400</v>
      </c>
      <c r="V961" s="146">
        <f t="shared" si="88"/>
        <v>10.25</v>
      </c>
      <c r="W961" s="150">
        <f t="shared" si="89"/>
        <v>22.75</v>
      </c>
      <c r="X961" s="146">
        <f t="shared" si="91"/>
        <v>22.75</v>
      </c>
    </row>
    <row r="962" spans="1:24" ht="9.75" customHeight="1" x14ac:dyDescent="0.25">
      <c r="A962" s="288">
        <v>746</v>
      </c>
      <c r="B962" s="288"/>
      <c r="D962" s="258" t="s">
        <v>394</v>
      </c>
      <c r="E962" s="289">
        <v>39373</v>
      </c>
      <c r="F962" s="289"/>
      <c r="G962" s="289"/>
      <c r="H962" s="289"/>
      <c r="I962" s="290" t="s">
        <v>205</v>
      </c>
      <c r="J962" s="290"/>
      <c r="K962" s="290"/>
      <c r="L962" s="47">
        <v>33</v>
      </c>
      <c r="M962" s="262">
        <v>1200</v>
      </c>
      <c r="N962" s="47">
        <v>100</v>
      </c>
      <c r="O962" s="291">
        <v>333.3</v>
      </c>
      <c r="P962" s="291"/>
      <c r="Q962" s="291"/>
      <c r="R962" s="262">
        <v>36.36</v>
      </c>
      <c r="S962" s="262">
        <v>369.66</v>
      </c>
      <c r="U962" s="149">
        <f t="shared" si="87"/>
        <v>51418</v>
      </c>
      <c r="V962" s="146">
        <f t="shared" si="88"/>
        <v>10.202777777777778</v>
      </c>
      <c r="W962" s="150">
        <f t="shared" si="89"/>
        <v>22.797222222222224</v>
      </c>
      <c r="X962" s="146">
        <f t="shared" si="91"/>
        <v>22.797222222222224</v>
      </c>
    </row>
    <row r="963" spans="1:24" ht="9.75" customHeight="1" x14ac:dyDescent="0.25">
      <c r="A963" s="288">
        <v>747</v>
      </c>
      <c r="B963" s="288"/>
      <c r="D963" s="258" t="s">
        <v>395</v>
      </c>
      <c r="E963" s="289">
        <v>39386</v>
      </c>
      <c r="F963" s="289"/>
      <c r="G963" s="289"/>
      <c r="H963" s="289"/>
      <c r="I963" s="290" t="s">
        <v>205</v>
      </c>
      <c r="J963" s="290"/>
      <c r="K963" s="290"/>
      <c r="L963" s="47">
        <v>33</v>
      </c>
      <c r="M963" s="262">
        <v>499.21000000000004</v>
      </c>
      <c r="N963" s="47">
        <v>100</v>
      </c>
      <c r="O963" s="291">
        <v>138.69</v>
      </c>
      <c r="P963" s="291"/>
      <c r="Q963" s="291"/>
      <c r="R963" s="262">
        <v>15.13</v>
      </c>
      <c r="S963" s="262">
        <v>153.82</v>
      </c>
      <c r="U963" s="149">
        <f t="shared" si="87"/>
        <v>51431</v>
      </c>
      <c r="V963" s="146">
        <f t="shared" si="88"/>
        <v>10.166666666666666</v>
      </c>
      <c r="W963" s="150">
        <f t="shared" si="89"/>
        <v>22.833333333333336</v>
      </c>
      <c r="X963" s="146">
        <f t="shared" si="91"/>
        <v>22.833333333333336</v>
      </c>
    </row>
    <row r="964" spans="1:24" ht="9.75" customHeight="1" x14ac:dyDescent="0.25">
      <c r="A964" s="288">
        <v>748</v>
      </c>
      <c r="B964" s="288"/>
      <c r="D964" s="258" t="s">
        <v>313</v>
      </c>
      <c r="E964" s="289">
        <v>39386</v>
      </c>
      <c r="F964" s="289"/>
      <c r="G964" s="289"/>
      <c r="H964" s="289"/>
      <c r="I964" s="290" t="s">
        <v>205</v>
      </c>
      <c r="J964" s="290"/>
      <c r="K964" s="290"/>
      <c r="L964" s="47">
        <v>33</v>
      </c>
      <c r="M964" s="262">
        <v>705</v>
      </c>
      <c r="N964" s="47">
        <v>100</v>
      </c>
      <c r="O964" s="291">
        <v>195.8</v>
      </c>
      <c r="P964" s="291"/>
      <c r="Q964" s="291"/>
      <c r="R964" s="262">
        <v>21.36</v>
      </c>
      <c r="S964" s="262">
        <v>217.16</v>
      </c>
      <c r="U964" s="149">
        <f t="shared" ref="U964:U1027" si="92">E964+(L964*365)</f>
        <v>51431</v>
      </c>
      <c r="V964" s="146">
        <f t="shared" ref="V964:V1027" si="93">YEARFRAC(E964,$V$14)</f>
        <v>10.166666666666666</v>
      </c>
      <c r="W964" s="150">
        <f t="shared" ref="W964:W1027" si="94">IF(V964&gt;L964,0,L964-V964)</f>
        <v>22.833333333333336</v>
      </c>
      <c r="X964" s="146">
        <f t="shared" si="91"/>
        <v>22.833333333333336</v>
      </c>
    </row>
    <row r="965" spans="1:24" ht="9.75" customHeight="1" x14ac:dyDescent="0.25">
      <c r="A965" s="288">
        <v>753</v>
      </c>
      <c r="B965" s="288"/>
      <c r="D965" s="258" t="s">
        <v>68</v>
      </c>
      <c r="E965" s="289">
        <v>39416</v>
      </c>
      <c r="F965" s="289"/>
      <c r="G965" s="289"/>
      <c r="H965" s="289"/>
      <c r="I965" s="290" t="s">
        <v>205</v>
      </c>
      <c r="J965" s="290"/>
      <c r="K965" s="290"/>
      <c r="L965" s="47">
        <v>33</v>
      </c>
      <c r="M965" s="262">
        <v>30</v>
      </c>
      <c r="N965" s="47">
        <v>100</v>
      </c>
      <c r="O965" s="291">
        <v>8.27</v>
      </c>
      <c r="P965" s="291"/>
      <c r="Q965" s="291"/>
      <c r="R965" s="262">
        <v>0.91</v>
      </c>
      <c r="S965" s="262">
        <v>9.18</v>
      </c>
      <c r="U965" s="149">
        <f t="shared" si="92"/>
        <v>51461</v>
      </c>
      <c r="V965" s="146">
        <f t="shared" si="93"/>
        <v>10.083333333333334</v>
      </c>
      <c r="W965" s="150">
        <f t="shared" si="94"/>
        <v>22.916666666666664</v>
      </c>
      <c r="X965" s="146">
        <f t="shared" si="91"/>
        <v>22.916666666666664</v>
      </c>
    </row>
    <row r="966" spans="1:24" ht="9.75" customHeight="1" x14ac:dyDescent="0.25">
      <c r="A966" s="288">
        <v>757</v>
      </c>
      <c r="B966" s="288"/>
      <c r="D966" s="258" t="s">
        <v>68</v>
      </c>
      <c r="E966" s="289">
        <v>39447</v>
      </c>
      <c r="F966" s="289"/>
      <c r="G966" s="289"/>
      <c r="H966" s="289"/>
      <c r="I966" s="290" t="s">
        <v>205</v>
      </c>
      <c r="J966" s="290"/>
      <c r="K966" s="290"/>
      <c r="L966" s="47">
        <v>33</v>
      </c>
      <c r="M966" s="262">
        <v>249.48000000000002</v>
      </c>
      <c r="N966" s="47">
        <v>100</v>
      </c>
      <c r="O966" s="291">
        <v>68.040000000000006</v>
      </c>
      <c r="P966" s="291"/>
      <c r="Q966" s="291"/>
      <c r="R966" s="262">
        <v>7.5600000000000005</v>
      </c>
      <c r="S966" s="262">
        <v>75.599999999999994</v>
      </c>
      <c r="U966" s="149">
        <f t="shared" si="92"/>
        <v>51492</v>
      </c>
      <c r="V966" s="146">
        <f t="shared" si="93"/>
        <v>10</v>
      </c>
      <c r="W966" s="150">
        <f t="shared" si="94"/>
        <v>23</v>
      </c>
      <c r="X966" s="146">
        <f t="shared" si="91"/>
        <v>23</v>
      </c>
    </row>
    <row r="967" spans="1:24" ht="9.75" customHeight="1" x14ac:dyDescent="0.25">
      <c r="A967" s="288">
        <v>759</v>
      </c>
      <c r="B967" s="288"/>
      <c r="D967" s="258" t="s">
        <v>68</v>
      </c>
      <c r="E967" s="289">
        <v>39752</v>
      </c>
      <c r="F967" s="289"/>
      <c r="G967" s="289"/>
      <c r="H967" s="289"/>
      <c r="I967" s="290" t="s">
        <v>205</v>
      </c>
      <c r="J967" s="290"/>
      <c r="K967" s="290"/>
      <c r="L967" s="47">
        <v>33</v>
      </c>
      <c r="M967" s="262">
        <v>800.62</v>
      </c>
      <c r="N967" s="47">
        <v>100</v>
      </c>
      <c r="O967" s="291">
        <v>198.12</v>
      </c>
      <c r="P967" s="291"/>
      <c r="Q967" s="291"/>
      <c r="R967" s="262">
        <v>24.26</v>
      </c>
      <c r="S967" s="262">
        <v>222.38</v>
      </c>
      <c r="U967" s="149">
        <f t="shared" si="92"/>
        <v>51797</v>
      </c>
      <c r="V967" s="146">
        <f t="shared" si="93"/>
        <v>9.1666666666666661</v>
      </c>
      <c r="W967" s="150">
        <f t="shared" si="94"/>
        <v>23.833333333333336</v>
      </c>
      <c r="X967" s="146">
        <f t="shared" si="91"/>
        <v>23.833333333333336</v>
      </c>
    </row>
    <row r="968" spans="1:24" ht="9.75" customHeight="1" x14ac:dyDescent="0.25">
      <c r="A968" s="288">
        <v>765</v>
      </c>
      <c r="B968" s="288"/>
      <c r="D968" s="258" t="s">
        <v>289</v>
      </c>
      <c r="E968" s="289">
        <v>39758</v>
      </c>
      <c r="F968" s="289"/>
      <c r="G968" s="289"/>
      <c r="H968" s="289"/>
      <c r="I968" s="290" t="s">
        <v>205</v>
      </c>
      <c r="J968" s="290"/>
      <c r="K968" s="290"/>
      <c r="L968" s="47">
        <v>33</v>
      </c>
      <c r="M968" s="262">
        <v>9223.5</v>
      </c>
      <c r="N968" s="47">
        <v>100</v>
      </c>
      <c r="O968" s="291">
        <v>2282.58</v>
      </c>
      <c r="P968" s="291"/>
      <c r="Q968" s="291"/>
      <c r="R968" s="262">
        <v>279.5</v>
      </c>
      <c r="S968" s="262">
        <v>2562.08</v>
      </c>
      <c r="U968" s="149">
        <f t="shared" si="92"/>
        <v>51803</v>
      </c>
      <c r="V968" s="146">
        <f t="shared" si="93"/>
        <v>9.1527777777777786</v>
      </c>
      <c r="W968" s="150">
        <f t="shared" si="94"/>
        <v>23.847222222222221</v>
      </c>
      <c r="X968" s="146">
        <f t="shared" si="91"/>
        <v>23.847222222222221</v>
      </c>
    </row>
    <row r="969" spans="1:24" ht="9.75" customHeight="1" x14ac:dyDescent="0.25">
      <c r="A969" s="288">
        <v>766</v>
      </c>
      <c r="B969" s="288"/>
      <c r="D969" s="258" t="s">
        <v>68</v>
      </c>
      <c r="E969" s="289">
        <v>39782</v>
      </c>
      <c r="F969" s="289"/>
      <c r="G969" s="289"/>
      <c r="H969" s="289"/>
      <c r="I969" s="290" t="s">
        <v>205</v>
      </c>
      <c r="J969" s="290"/>
      <c r="K969" s="290"/>
      <c r="L969" s="47">
        <v>33</v>
      </c>
      <c r="M969" s="262">
        <v>645</v>
      </c>
      <c r="N969" s="47">
        <v>100</v>
      </c>
      <c r="O969" s="291">
        <v>158.03</v>
      </c>
      <c r="P969" s="291"/>
      <c r="Q969" s="291"/>
      <c r="R969" s="262">
        <v>19.55</v>
      </c>
      <c r="S969" s="262">
        <v>177.58</v>
      </c>
      <c r="U969" s="149">
        <f t="shared" si="92"/>
        <v>51827</v>
      </c>
      <c r="V969" s="146">
        <f t="shared" si="93"/>
        <v>9.0833333333333339</v>
      </c>
      <c r="W969" s="150">
        <f t="shared" si="94"/>
        <v>23.916666666666664</v>
      </c>
      <c r="X969" s="146">
        <f t="shared" si="91"/>
        <v>23.916666666666664</v>
      </c>
    </row>
    <row r="970" spans="1:24" ht="9.75" customHeight="1" x14ac:dyDescent="0.25">
      <c r="A970" s="288">
        <v>774</v>
      </c>
      <c r="B970" s="288"/>
      <c r="D970" s="258" t="s">
        <v>68</v>
      </c>
      <c r="E970" s="289">
        <v>39813</v>
      </c>
      <c r="F970" s="289"/>
      <c r="G970" s="289"/>
      <c r="H970" s="289"/>
      <c r="I970" s="290" t="s">
        <v>205</v>
      </c>
      <c r="J970" s="290"/>
      <c r="K970" s="290"/>
      <c r="L970" s="47">
        <v>33</v>
      </c>
      <c r="M970" s="262">
        <v>957.5</v>
      </c>
      <c r="N970" s="47">
        <v>100</v>
      </c>
      <c r="O970" s="291">
        <v>232.16</v>
      </c>
      <c r="P970" s="291"/>
      <c r="Q970" s="291"/>
      <c r="R970" s="262">
        <v>29.02</v>
      </c>
      <c r="S970" s="262">
        <v>261.18</v>
      </c>
      <c r="U970" s="149">
        <f t="shared" si="92"/>
        <v>51858</v>
      </c>
      <c r="V970" s="146">
        <f t="shared" si="93"/>
        <v>9</v>
      </c>
      <c r="W970" s="150">
        <f t="shared" si="94"/>
        <v>24</v>
      </c>
      <c r="X970" s="146">
        <f t="shared" si="91"/>
        <v>24</v>
      </c>
    </row>
    <row r="971" spans="1:24" ht="9.75" customHeight="1" x14ac:dyDescent="0.25">
      <c r="A971" s="288">
        <v>776</v>
      </c>
      <c r="B971" s="288"/>
      <c r="D971" s="258" t="s">
        <v>395</v>
      </c>
      <c r="E971" s="289">
        <v>39844</v>
      </c>
      <c r="F971" s="289"/>
      <c r="G971" s="289"/>
      <c r="H971" s="289"/>
      <c r="I971" s="290" t="s">
        <v>205</v>
      </c>
      <c r="J971" s="290"/>
      <c r="K971" s="290"/>
      <c r="L971" s="47">
        <v>33</v>
      </c>
      <c r="M971" s="262">
        <v>365.02</v>
      </c>
      <c r="N971" s="47">
        <v>100</v>
      </c>
      <c r="O971" s="291">
        <v>87.56</v>
      </c>
      <c r="P971" s="291"/>
      <c r="Q971" s="291"/>
      <c r="R971" s="262">
        <v>11.06</v>
      </c>
      <c r="S971" s="262">
        <v>98.62</v>
      </c>
      <c r="U971" s="149">
        <f t="shared" si="92"/>
        <v>51889</v>
      </c>
      <c r="V971" s="146">
        <f t="shared" si="93"/>
        <v>8.9166666666666661</v>
      </c>
      <c r="W971" s="150">
        <f t="shared" si="94"/>
        <v>24.083333333333336</v>
      </c>
      <c r="X971" s="146">
        <f t="shared" si="91"/>
        <v>24.083333333333336</v>
      </c>
    </row>
    <row r="972" spans="1:24" ht="9.75" customHeight="1" x14ac:dyDescent="0.25">
      <c r="A972" s="288">
        <v>777</v>
      </c>
      <c r="B972" s="288"/>
      <c r="D972" s="258" t="s">
        <v>313</v>
      </c>
      <c r="E972" s="289">
        <v>39844</v>
      </c>
      <c r="F972" s="289"/>
      <c r="G972" s="289"/>
      <c r="H972" s="289"/>
      <c r="I972" s="290" t="s">
        <v>205</v>
      </c>
      <c r="J972" s="290"/>
      <c r="K972" s="290"/>
      <c r="L972" s="47">
        <v>33</v>
      </c>
      <c r="M972" s="262">
        <v>36</v>
      </c>
      <c r="N972" s="47">
        <v>100</v>
      </c>
      <c r="O972" s="291">
        <v>8.6300000000000008</v>
      </c>
      <c r="P972" s="291"/>
      <c r="Q972" s="291"/>
      <c r="R972" s="262">
        <v>1.0900000000000001</v>
      </c>
      <c r="S972" s="262">
        <v>9.7200000000000006</v>
      </c>
      <c r="U972" s="149">
        <f t="shared" si="92"/>
        <v>51889</v>
      </c>
      <c r="V972" s="146">
        <f t="shared" si="93"/>
        <v>8.9166666666666661</v>
      </c>
      <c r="W972" s="150">
        <f t="shared" si="94"/>
        <v>24.083333333333336</v>
      </c>
      <c r="X972" s="146">
        <f t="shared" si="91"/>
        <v>24.083333333333336</v>
      </c>
    </row>
    <row r="973" spans="1:24" ht="9.75" customHeight="1" x14ac:dyDescent="0.25">
      <c r="A973" s="288">
        <v>779</v>
      </c>
      <c r="B973" s="288"/>
      <c r="D973" s="258" t="s">
        <v>395</v>
      </c>
      <c r="E973" s="289">
        <v>39872</v>
      </c>
      <c r="F973" s="289"/>
      <c r="G973" s="289"/>
      <c r="H973" s="289"/>
      <c r="I973" s="290" t="s">
        <v>205</v>
      </c>
      <c r="J973" s="290"/>
      <c r="K973" s="290"/>
      <c r="L973" s="47">
        <v>33</v>
      </c>
      <c r="M973" s="262">
        <v>66.180000000000007</v>
      </c>
      <c r="N973" s="47">
        <v>100</v>
      </c>
      <c r="O973" s="291">
        <v>15.74</v>
      </c>
      <c r="P973" s="291"/>
      <c r="Q973" s="291"/>
      <c r="R973" s="262">
        <v>2.0099999999999998</v>
      </c>
      <c r="S973" s="262">
        <v>17.75</v>
      </c>
      <c r="U973" s="149">
        <f t="shared" si="92"/>
        <v>51917</v>
      </c>
      <c r="V973" s="146">
        <f t="shared" si="93"/>
        <v>8.8361111111111104</v>
      </c>
      <c r="W973" s="150">
        <f t="shared" si="94"/>
        <v>24.163888888888891</v>
      </c>
      <c r="X973" s="146">
        <f t="shared" si="91"/>
        <v>24.163888888888891</v>
      </c>
    </row>
    <row r="974" spans="1:24" ht="9.75" customHeight="1" x14ac:dyDescent="0.25">
      <c r="A974" s="288">
        <v>780</v>
      </c>
      <c r="B974" s="288"/>
      <c r="D974" s="258" t="s">
        <v>313</v>
      </c>
      <c r="E974" s="289">
        <v>39872</v>
      </c>
      <c r="F974" s="289"/>
      <c r="G974" s="289"/>
      <c r="H974" s="289"/>
      <c r="I974" s="290" t="s">
        <v>205</v>
      </c>
      <c r="J974" s="290"/>
      <c r="K974" s="290"/>
      <c r="L974" s="47">
        <v>33</v>
      </c>
      <c r="M974" s="262">
        <v>324</v>
      </c>
      <c r="N974" s="47">
        <v>100</v>
      </c>
      <c r="O974" s="291">
        <v>76.92</v>
      </c>
      <c r="P974" s="291"/>
      <c r="Q974" s="291"/>
      <c r="R974" s="262">
        <v>9.82</v>
      </c>
      <c r="S974" s="262">
        <v>86.74</v>
      </c>
      <c r="U974" s="149">
        <f t="shared" si="92"/>
        <v>51917</v>
      </c>
      <c r="V974" s="146">
        <f t="shared" si="93"/>
        <v>8.8361111111111104</v>
      </c>
      <c r="W974" s="150">
        <f t="shared" si="94"/>
        <v>24.163888888888891</v>
      </c>
      <c r="X974" s="146">
        <f t="shared" si="91"/>
        <v>24.163888888888891</v>
      </c>
    </row>
    <row r="975" spans="1:24" ht="9.75" customHeight="1" x14ac:dyDescent="0.25">
      <c r="A975" s="288">
        <v>783</v>
      </c>
      <c r="B975" s="288"/>
      <c r="D975" s="258" t="s">
        <v>68</v>
      </c>
      <c r="E975" s="289">
        <v>39903</v>
      </c>
      <c r="F975" s="289"/>
      <c r="G975" s="289"/>
      <c r="H975" s="289"/>
      <c r="I975" s="290" t="s">
        <v>205</v>
      </c>
      <c r="J975" s="290"/>
      <c r="K975" s="290"/>
      <c r="L975" s="47">
        <v>33</v>
      </c>
      <c r="M975" s="262">
        <v>612</v>
      </c>
      <c r="N975" s="47">
        <v>100</v>
      </c>
      <c r="O975" s="291">
        <v>143.76</v>
      </c>
      <c r="P975" s="291"/>
      <c r="Q975" s="291"/>
      <c r="R975" s="262">
        <v>18.55</v>
      </c>
      <c r="S975" s="262">
        <v>162.31</v>
      </c>
      <c r="U975" s="149">
        <f t="shared" si="92"/>
        <v>51948</v>
      </c>
      <c r="V975" s="146">
        <f t="shared" si="93"/>
        <v>8.75</v>
      </c>
      <c r="W975" s="150">
        <f t="shared" si="94"/>
        <v>24.25</v>
      </c>
      <c r="X975" s="146">
        <f t="shared" si="91"/>
        <v>24.25</v>
      </c>
    </row>
    <row r="976" spans="1:24" ht="9.75" customHeight="1" x14ac:dyDescent="0.25">
      <c r="A976" s="288">
        <v>787</v>
      </c>
      <c r="B976" s="288"/>
      <c r="D976" s="258" t="s">
        <v>68</v>
      </c>
      <c r="E976" s="289">
        <v>39933</v>
      </c>
      <c r="F976" s="289"/>
      <c r="G976" s="289"/>
      <c r="H976" s="289"/>
      <c r="I976" s="290" t="s">
        <v>205</v>
      </c>
      <c r="J976" s="290"/>
      <c r="K976" s="290"/>
      <c r="L976" s="47">
        <v>33</v>
      </c>
      <c r="M976" s="262">
        <v>198</v>
      </c>
      <c r="N976" s="47">
        <v>100</v>
      </c>
      <c r="O976" s="291">
        <v>46</v>
      </c>
      <c r="P976" s="291"/>
      <c r="Q976" s="291"/>
      <c r="R976" s="262">
        <v>6</v>
      </c>
      <c r="S976" s="262">
        <v>52</v>
      </c>
      <c r="U976" s="149">
        <f t="shared" si="92"/>
        <v>51978</v>
      </c>
      <c r="V976" s="146">
        <f t="shared" si="93"/>
        <v>8.6666666666666661</v>
      </c>
      <c r="W976" s="150">
        <f t="shared" si="94"/>
        <v>24.333333333333336</v>
      </c>
      <c r="X976" s="146">
        <f t="shared" si="91"/>
        <v>24.333333333333336</v>
      </c>
    </row>
    <row r="977" spans="1:24" ht="9.75" customHeight="1" x14ac:dyDescent="0.25">
      <c r="A977" s="288">
        <v>791</v>
      </c>
      <c r="B977" s="288"/>
      <c r="D977" s="258" t="s">
        <v>68</v>
      </c>
      <c r="E977" s="289">
        <v>39964</v>
      </c>
      <c r="F977" s="289"/>
      <c r="G977" s="289"/>
      <c r="H977" s="289"/>
      <c r="I977" s="290" t="s">
        <v>205</v>
      </c>
      <c r="J977" s="290"/>
      <c r="K977" s="290"/>
      <c r="L977" s="47">
        <v>33</v>
      </c>
      <c r="M977" s="262">
        <v>1215</v>
      </c>
      <c r="N977" s="47">
        <v>100</v>
      </c>
      <c r="O977" s="291">
        <v>279.22000000000003</v>
      </c>
      <c r="P977" s="291"/>
      <c r="Q977" s="291"/>
      <c r="R977" s="262">
        <v>36.82</v>
      </c>
      <c r="S977" s="262">
        <v>316.04000000000002</v>
      </c>
      <c r="U977" s="149">
        <f t="shared" si="92"/>
        <v>52009</v>
      </c>
      <c r="V977" s="146">
        <f t="shared" si="93"/>
        <v>8.5833333333333339</v>
      </c>
      <c r="W977" s="150">
        <f t="shared" si="94"/>
        <v>24.416666666666664</v>
      </c>
      <c r="X977" s="146">
        <f t="shared" si="91"/>
        <v>24.416666666666664</v>
      </c>
    </row>
    <row r="978" spans="1:24" ht="9.75" customHeight="1" x14ac:dyDescent="0.25">
      <c r="A978" s="288">
        <v>794</v>
      </c>
      <c r="B978" s="288"/>
      <c r="D978" s="258" t="s">
        <v>68</v>
      </c>
      <c r="E978" s="289">
        <v>39994</v>
      </c>
      <c r="F978" s="289"/>
      <c r="G978" s="289"/>
      <c r="H978" s="289"/>
      <c r="I978" s="290" t="s">
        <v>205</v>
      </c>
      <c r="J978" s="290"/>
      <c r="K978" s="290"/>
      <c r="L978" s="47">
        <v>33</v>
      </c>
      <c r="M978" s="262">
        <v>1521</v>
      </c>
      <c r="N978" s="47">
        <v>100</v>
      </c>
      <c r="O978" s="291">
        <v>345.68</v>
      </c>
      <c r="P978" s="291"/>
      <c r="Q978" s="291"/>
      <c r="R978" s="262">
        <v>46.09</v>
      </c>
      <c r="S978" s="262">
        <v>391.77</v>
      </c>
      <c r="U978" s="149">
        <f t="shared" si="92"/>
        <v>52039</v>
      </c>
      <c r="V978" s="146">
        <f t="shared" si="93"/>
        <v>8.5</v>
      </c>
      <c r="W978" s="150">
        <f t="shared" si="94"/>
        <v>24.5</v>
      </c>
      <c r="X978" s="146">
        <f t="shared" si="91"/>
        <v>24.5</v>
      </c>
    </row>
    <row r="979" spans="1:24" ht="9.75" customHeight="1" x14ac:dyDescent="0.25">
      <c r="A979" s="288">
        <v>797</v>
      </c>
      <c r="B979" s="288"/>
      <c r="D979" s="258" t="s">
        <v>68</v>
      </c>
      <c r="E979" s="289">
        <v>40025</v>
      </c>
      <c r="F979" s="289"/>
      <c r="G979" s="289"/>
      <c r="H979" s="289"/>
      <c r="I979" s="290" t="s">
        <v>205</v>
      </c>
      <c r="J979" s="290"/>
      <c r="K979" s="290"/>
      <c r="L979" s="47">
        <v>33</v>
      </c>
      <c r="M979" s="262">
        <v>2210.59</v>
      </c>
      <c r="N979" s="47">
        <v>100</v>
      </c>
      <c r="O979" s="291">
        <v>496.84000000000003</v>
      </c>
      <c r="P979" s="291"/>
      <c r="Q979" s="291"/>
      <c r="R979" s="262">
        <v>66.989999999999995</v>
      </c>
      <c r="S979" s="262">
        <v>563.83000000000004</v>
      </c>
      <c r="U979" s="149">
        <f t="shared" si="92"/>
        <v>52070</v>
      </c>
      <c r="V979" s="146">
        <f t="shared" si="93"/>
        <v>8.4166666666666661</v>
      </c>
      <c r="W979" s="150">
        <f t="shared" si="94"/>
        <v>24.583333333333336</v>
      </c>
      <c r="X979" s="146">
        <f t="shared" si="91"/>
        <v>24.583333333333336</v>
      </c>
    </row>
    <row r="980" spans="1:24" ht="9.75" customHeight="1" x14ac:dyDescent="0.25">
      <c r="A980" s="288">
        <v>803</v>
      </c>
      <c r="B980" s="288"/>
      <c r="D980" s="258" t="s">
        <v>68</v>
      </c>
      <c r="E980" s="289">
        <v>40056</v>
      </c>
      <c r="F980" s="289"/>
      <c r="G980" s="289"/>
      <c r="H980" s="289"/>
      <c r="I980" s="290" t="s">
        <v>205</v>
      </c>
      <c r="J980" s="290"/>
      <c r="K980" s="290"/>
      <c r="L980" s="47">
        <v>33</v>
      </c>
      <c r="M980" s="262">
        <v>990</v>
      </c>
      <c r="N980" s="47">
        <v>100</v>
      </c>
      <c r="O980" s="291">
        <v>220</v>
      </c>
      <c r="P980" s="291"/>
      <c r="Q980" s="291"/>
      <c r="R980" s="262">
        <v>30</v>
      </c>
      <c r="S980" s="262">
        <v>250</v>
      </c>
      <c r="U980" s="149">
        <f t="shared" si="92"/>
        <v>52101</v>
      </c>
      <c r="V980" s="146">
        <f t="shared" si="93"/>
        <v>8.3333333333333339</v>
      </c>
      <c r="W980" s="150">
        <f t="shared" si="94"/>
        <v>24.666666666666664</v>
      </c>
      <c r="X980" s="146">
        <f t="shared" si="91"/>
        <v>24.666666666666664</v>
      </c>
    </row>
    <row r="981" spans="1:24" ht="9.75" customHeight="1" x14ac:dyDescent="0.25">
      <c r="A981" s="288">
        <v>806</v>
      </c>
      <c r="B981" s="288"/>
      <c r="D981" s="258" t="s">
        <v>68</v>
      </c>
      <c r="E981" s="289">
        <v>40086</v>
      </c>
      <c r="F981" s="289"/>
      <c r="G981" s="289"/>
      <c r="H981" s="289"/>
      <c r="I981" s="290" t="s">
        <v>205</v>
      </c>
      <c r="J981" s="290"/>
      <c r="K981" s="290"/>
      <c r="L981" s="47">
        <v>33</v>
      </c>
      <c r="M981" s="262">
        <v>2166.25</v>
      </c>
      <c r="N981" s="47">
        <v>100</v>
      </c>
      <c r="O981" s="291">
        <v>475.89</v>
      </c>
      <c r="P981" s="291"/>
      <c r="Q981" s="291"/>
      <c r="R981" s="262">
        <v>65.64</v>
      </c>
      <c r="S981" s="262">
        <v>541.53</v>
      </c>
      <c r="U981" s="149">
        <f t="shared" si="92"/>
        <v>52131</v>
      </c>
      <c r="V981" s="146">
        <f t="shared" si="93"/>
        <v>8.25</v>
      </c>
      <c r="W981" s="150">
        <f t="shared" si="94"/>
        <v>24.75</v>
      </c>
      <c r="X981" s="146">
        <f t="shared" si="91"/>
        <v>24.75</v>
      </c>
    </row>
    <row r="982" spans="1:24" ht="9.75" customHeight="1" x14ac:dyDescent="0.25">
      <c r="A982" s="288">
        <v>811</v>
      </c>
      <c r="B982" s="288"/>
      <c r="D982" s="258" t="s">
        <v>68</v>
      </c>
      <c r="E982" s="289">
        <v>40117</v>
      </c>
      <c r="F982" s="289"/>
      <c r="G982" s="289"/>
      <c r="H982" s="289"/>
      <c r="I982" s="290" t="s">
        <v>205</v>
      </c>
      <c r="J982" s="290"/>
      <c r="K982" s="290"/>
      <c r="L982" s="47">
        <v>33</v>
      </c>
      <c r="M982" s="262">
        <v>1756.54</v>
      </c>
      <c r="N982" s="47">
        <v>100</v>
      </c>
      <c r="O982" s="291">
        <v>381.48</v>
      </c>
      <c r="P982" s="291"/>
      <c r="Q982" s="291"/>
      <c r="R982" s="262">
        <v>53.230000000000004</v>
      </c>
      <c r="S982" s="262">
        <v>434.71000000000004</v>
      </c>
      <c r="U982" s="149">
        <f t="shared" si="92"/>
        <v>52162</v>
      </c>
      <c r="V982" s="146">
        <f t="shared" si="93"/>
        <v>8.1666666666666661</v>
      </c>
      <c r="W982" s="150">
        <f t="shared" si="94"/>
        <v>24.833333333333336</v>
      </c>
      <c r="X982" s="146">
        <f t="shared" si="91"/>
        <v>24.833333333333336</v>
      </c>
    </row>
    <row r="983" spans="1:24" ht="9.75" customHeight="1" x14ac:dyDescent="0.25">
      <c r="A983" s="288">
        <v>814</v>
      </c>
      <c r="B983" s="288"/>
      <c r="D983" s="258" t="s">
        <v>68</v>
      </c>
      <c r="E983" s="289">
        <v>40147</v>
      </c>
      <c r="F983" s="289"/>
      <c r="G983" s="289"/>
      <c r="H983" s="289"/>
      <c r="I983" s="290" t="s">
        <v>205</v>
      </c>
      <c r="J983" s="290"/>
      <c r="K983" s="290"/>
      <c r="L983" s="47">
        <v>33</v>
      </c>
      <c r="M983" s="262">
        <v>1381.8700000000001</v>
      </c>
      <c r="N983" s="47">
        <v>100</v>
      </c>
      <c r="O983" s="291">
        <v>296.58</v>
      </c>
      <c r="P983" s="291"/>
      <c r="Q983" s="291"/>
      <c r="R983" s="262">
        <v>41.87</v>
      </c>
      <c r="S983" s="262">
        <v>338.45</v>
      </c>
      <c r="U983" s="149">
        <f t="shared" si="92"/>
        <v>52192</v>
      </c>
      <c r="V983" s="146">
        <f t="shared" si="93"/>
        <v>8.0833333333333339</v>
      </c>
      <c r="W983" s="150">
        <f t="shared" si="94"/>
        <v>24.916666666666664</v>
      </c>
      <c r="X983" s="146">
        <f t="shared" ref="X983:X996" si="95">IF(W983=0,0,W983)</f>
        <v>24.916666666666664</v>
      </c>
    </row>
    <row r="984" spans="1:24" ht="9.75" customHeight="1" x14ac:dyDescent="0.25">
      <c r="A984" s="288">
        <v>816</v>
      </c>
      <c r="B984" s="288"/>
      <c r="D984" s="258" t="s">
        <v>68</v>
      </c>
      <c r="E984" s="289">
        <v>40178</v>
      </c>
      <c r="F984" s="289"/>
      <c r="G984" s="289"/>
      <c r="H984" s="289"/>
      <c r="I984" s="290" t="s">
        <v>205</v>
      </c>
      <c r="J984" s="290"/>
      <c r="K984" s="290"/>
      <c r="L984" s="47">
        <v>33</v>
      </c>
      <c r="M984" s="262">
        <v>150.24</v>
      </c>
      <c r="N984" s="47">
        <v>100</v>
      </c>
      <c r="O984" s="291">
        <v>31.85</v>
      </c>
      <c r="P984" s="291"/>
      <c r="Q984" s="291"/>
      <c r="R984" s="262">
        <v>4.55</v>
      </c>
      <c r="S984" s="262">
        <v>36.4</v>
      </c>
      <c r="U984" s="149">
        <f t="shared" si="92"/>
        <v>52223</v>
      </c>
      <c r="V984" s="146">
        <f t="shared" si="93"/>
        <v>8</v>
      </c>
      <c r="W984" s="150">
        <f t="shared" si="94"/>
        <v>25</v>
      </c>
      <c r="X984" s="146">
        <f t="shared" si="95"/>
        <v>25</v>
      </c>
    </row>
    <row r="985" spans="1:24" ht="9.75" customHeight="1" x14ac:dyDescent="0.25">
      <c r="A985" s="288">
        <v>820</v>
      </c>
      <c r="B985" s="288"/>
      <c r="D985" s="258" t="s">
        <v>68</v>
      </c>
      <c r="E985" s="289">
        <v>40209</v>
      </c>
      <c r="F985" s="289"/>
      <c r="G985" s="289"/>
      <c r="H985" s="289"/>
      <c r="I985" s="290" t="s">
        <v>205</v>
      </c>
      <c r="J985" s="290"/>
      <c r="K985" s="290"/>
      <c r="L985" s="47">
        <v>33</v>
      </c>
      <c r="M985" s="262">
        <v>144</v>
      </c>
      <c r="N985" s="47">
        <v>100</v>
      </c>
      <c r="O985" s="291">
        <v>30.16</v>
      </c>
      <c r="P985" s="291"/>
      <c r="Q985" s="291"/>
      <c r="R985" s="262">
        <v>4.3600000000000003</v>
      </c>
      <c r="S985" s="262">
        <v>34.520000000000003</v>
      </c>
      <c r="U985" s="149">
        <f t="shared" si="92"/>
        <v>52254</v>
      </c>
      <c r="V985" s="146">
        <f t="shared" si="93"/>
        <v>7.916666666666667</v>
      </c>
      <c r="W985" s="150">
        <f t="shared" si="94"/>
        <v>25.083333333333332</v>
      </c>
      <c r="X985" s="146">
        <f t="shared" si="95"/>
        <v>25.083333333333332</v>
      </c>
    </row>
    <row r="986" spans="1:24" ht="9.75" customHeight="1" x14ac:dyDescent="0.25">
      <c r="A986" s="288">
        <v>824</v>
      </c>
      <c r="B986" s="288"/>
      <c r="D986" s="258" t="s">
        <v>68</v>
      </c>
      <c r="E986" s="289">
        <v>40237</v>
      </c>
      <c r="F986" s="289"/>
      <c r="G986" s="289"/>
      <c r="H986" s="289"/>
      <c r="I986" s="290" t="s">
        <v>205</v>
      </c>
      <c r="J986" s="290"/>
      <c r="K986" s="290"/>
      <c r="L986" s="47">
        <v>33</v>
      </c>
      <c r="M986" s="262">
        <v>270</v>
      </c>
      <c r="N986" s="47">
        <v>100</v>
      </c>
      <c r="O986" s="291">
        <v>55.9</v>
      </c>
      <c r="P986" s="291"/>
      <c r="Q986" s="291"/>
      <c r="R986" s="262">
        <v>8.18</v>
      </c>
      <c r="S986" s="262">
        <v>64.08</v>
      </c>
      <c r="U986" s="149">
        <f t="shared" si="92"/>
        <v>52282</v>
      </c>
      <c r="V986" s="146">
        <f t="shared" si="93"/>
        <v>7.8361111111111112</v>
      </c>
      <c r="W986" s="150">
        <f t="shared" si="94"/>
        <v>25.163888888888888</v>
      </c>
      <c r="X986" s="146">
        <f t="shared" si="95"/>
        <v>25.163888888888888</v>
      </c>
    </row>
    <row r="987" spans="1:24" ht="9.75" customHeight="1" x14ac:dyDescent="0.25">
      <c r="A987" s="288">
        <v>828</v>
      </c>
      <c r="B987" s="288"/>
      <c r="D987" s="258" t="s">
        <v>68</v>
      </c>
      <c r="E987" s="289">
        <v>40268</v>
      </c>
      <c r="F987" s="289"/>
      <c r="G987" s="289"/>
      <c r="H987" s="289"/>
      <c r="I987" s="290" t="s">
        <v>205</v>
      </c>
      <c r="J987" s="290"/>
      <c r="K987" s="290"/>
      <c r="L987" s="47">
        <v>33</v>
      </c>
      <c r="M987" s="262">
        <v>135</v>
      </c>
      <c r="N987" s="47">
        <v>100</v>
      </c>
      <c r="O987" s="291">
        <v>27.61</v>
      </c>
      <c r="P987" s="291"/>
      <c r="Q987" s="291"/>
      <c r="R987" s="262">
        <v>4.09</v>
      </c>
      <c r="S987" s="262">
        <v>31.7</v>
      </c>
      <c r="U987" s="149">
        <f t="shared" si="92"/>
        <v>52313</v>
      </c>
      <c r="V987" s="146">
        <f t="shared" si="93"/>
        <v>7.75</v>
      </c>
      <c r="W987" s="150">
        <f t="shared" si="94"/>
        <v>25.25</v>
      </c>
      <c r="X987" s="146">
        <f t="shared" si="95"/>
        <v>25.25</v>
      </c>
    </row>
    <row r="988" spans="1:24" ht="9.75" customHeight="1" x14ac:dyDescent="0.25">
      <c r="A988" s="288">
        <v>833</v>
      </c>
      <c r="B988" s="288"/>
      <c r="D988" s="258" t="s">
        <v>68</v>
      </c>
      <c r="E988" s="289">
        <v>40298</v>
      </c>
      <c r="F988" s="289"/>
      <c r="G988" s="289"/>
      <c r="H988" s="289"/>
      <c r="I988" s="290" t="s">
        <v>205</v>
      </c>
      <c r="J988" s="290"/>
      <c r="K988" s="290"/>
      <c r="L988" s="47">
        <v>33</v>
      </c>
      <c r="M988" s="262">
        <v>1404</v>
      </c>
      <c r="N988" s="47">
        <v>100</v>
      </c>
      <c r="O988" s="291">
        <v>283.67</v>
      </c>
      <c r="P988" s="291"/>
      <c r="Q988" s="291"/>
      <c r="R988" s="262">
        <v>42.550000000000004</v>
      </c>
      <c r="S988" s="262">
        <v>326.22000000000003</v>
      </c>
      <c r="U988" s="149">
        <f t="shared" si="92"/>
        <v>52343</v>
      </c>
      <c r="V988" s="146">
        <f t="shared" si="93"/>
        <v>7.666666666666667</v>
      </c>
      <c r="W988" s="150">
        <f t="shared" si="94"/>
        <v>25.333333333333332</v>
      </c>
      <c r="X988" s="146">
        <f t="shared" si="95"/>
        <v>25.333333333333332</v>
      </c>
    </row>
    <row r="989" spans="1:24" ht="9.75" customHeight="1" x14ac:dyDescent="0.25">
      <c r="A989" s="288">
        <v>836</v>
      </c>
      <c r="B989" s="288"/>
      <c r="D989" s="258" t="s">
        <v>68</v>
      </c>
      <c r="E989" s="289">
        <v>40329</v>
      </c>
      <c r="F989" s="289"/>
      <c r="G989" s="289"/>
      <c r="H989" s="289"/>
      <c r="I989" s="290" t="s">
        <v>205</v>
      </c>
      <c r="J989" s="290"/>
      <c r="K989" s="290"/>
      <c r="L989" s="47">
        <v>33</v>
      </c>
      <c r="M989" s="262">
        <v>387</v>
      </c>
      <c r="N989" s="47">
        <v>100</v>
      </c>
      <c r="O989" s="291">
        <v>77.22</v>
      </c>
      <c r="P989" s="291"/>
      <c r="Q989" s="291"/>
      <c r="R989" s="262">
        <v>11.73</v>
      </c>
      <c r="S989" s="262">
        <v>88.95</v>
      </c>
      <c r="U989" s="149">
        <f t="shared" si="92"/>
        <v>52374</v>
      </c>
      <c r="V989" s="146">
        <f t="shared" si="93"/>
        <v>7.583333333333333</v>
      </c>
      <c r="W989" s="150">
        <f t="shared" si="94"/>
        <v>25.416666666666668</v>
      </c>
      <c r="X989" s="146">
        <f t="shared" si="95"/>
        <v>25.416666666666668</v>
      </c>
    </row>
    <row r="990" spans="1:24" ht="9.75" customHeight="1" x14ac:dyDescent="0.25">
      <c r="A990" s="288">
        <v>840</v>
      </c>
      <c r="B990" s="288"/>
      <c r="D990" s="258" t="s">
        <v>68</v>
      </c>
      <c r="E990" s="289">
        <v>40359</v>
      </c>
      <c r="F990" s="289"/>
      <c r="G990" s="289"/>
      <c r="H990" s="289"/>
      <c r="I990" s="290" t="s">
        <v>396</v>
      </c>
      <c r="J990" s="290"/>
      <c r="K990" s="290"/>
      <c r="L990" s="47">
        <v>33</v>
      </c>
      <c r="M990" s="262">
        <v>1188</v>
      </c>
      <c r="N990" s="47">
        <v>100</v>
      </c>
      <c r="O990" s="291">
        <v>398.41</v>
      </c>
      <c r="P990" s="291"/>
      <c r="Q990" s="291"/>
      <c r="R990" s="262">
        <v>47.85</v>
      </c>
      <c r="S990" s="262">
        <v>446.26</v>
      </c>
      <c r="U990" s="149">
        <f t="shared" si="92"/>
        <v>52404</v>
      </c>
      <c r="V990" s="146">
        <f t="shared" si="93"/>
        <v>7.5</v>
      </c>
      <c r="W990" s="150">
        <f t="shared" si="94"/>
        <v>25.5</v>
      </c>
      <c r="X990" s="146">
        <f t="shared" si="95"/>
        <v>25.5</v>
      </c>
    </row>
    <row r="991" spans="1:24" ht="9.75" customHeight="1" x14ac:dyDescent="0.25">
      <c r="A991" s="288">
        <v>845</v>
      </c>
      <c r="B991" s="288"/>
      <c r="D991" s="258" t="s">
        <v>68</v>
      </c>
      <c r="E991" s="289">
        <v>40390</v>
      </c>
      <c r="F991" s="289"/>
      <c r="G991" s="289"/>
      <c r="H991" s="289"/>
      <c r="I991" s="290" t="s">
        <v>205</v>
      </c>
      <c r="J991" s="290"/>
      <c r="K991" s="290"/>
      <c r="L991" s="47">
        <v>33</v>
      </c>
      <c r="M991" s="262">
        <v>20817.650000000001</v>
      </c>
      <c r="N991" s="47">
        <v>100</v>
      </c>
      <c r="O991" s="291">
        <v>4047.89</v>
      </c>
      <c r="P991" s="291"/>
      <c r="Q991" s="291"/>
      <c r="R991" s="262">
        <v>630.84</v>
      </c>
      <c r="S991" s="262">
        <v>4678.7299999999996</v>
      </c>
      <c r="U991" s="149">
        <f t="shared" si="92"/>
        <v>52435</v>
      </c>
      <c r="V991" s="146">
        <f t="shared" si="93"/>
        <v>7.416666666666667</v>
      </c>
      <c r="W991" s="150">
        <f t="shared" si="94"/>
        <v>25.583333333333332</v>
      </c>
      <c r="X991" s="146">
        <f t="shared" si="95"/>
        <v>25.583333333333332</v>
      </c>
    </row>
    <row r="992" spans="1:24" ht="9.75" customHeight="1" x14ac:dyDescent="0.25">
      <c r="A992" s="288">
        <v>847</v>
      </c>
      <c r="B992" s="288"/>
      <c r="D992" s="258" t="s">
        <v>68</v>
      </c>
      <c r="E992" s="289">
        <v>40421</v>
      </c>
      <c r="F992" s="289"/>
      <c r="G992" s="289"/>
      <c r="H992" s="289"/>
      <c r="I992" s="290" t="s">
        <v>205</v>
      </c>
      <c r="J992" s="290"/>
      <c r="K992" s="290"/>
      <c r="L992" s="47">
        <v>33</v>
      </c>
      <c r="M992" s="262">
        <v>3224.3</v>
      </c>
      <c r="N992" s="47">
        <v>100</v>
      </c>
      <c r="O992" s="291">
        <v>618.83000000000004</v>
      </c>
      <c r="P992" s="291"/>
      <c r="Q992" s="291"/>
      <c r="R992" s="262">
        <v>97.710000000000008</v>
      </c>
      <c r="S992" s="262">
        <v>716.54</v>
      </c>
      <c r="U992" s="149">
        <f t="shared" si="92"/>
        <v>52466</v>
      </c>
      <c r="V992" s="146">
        <f t="shared" si="93"/>
        <v>7.333333333333333</v>
      </c>
      <c r="W992" s="150">
        <f t="shared" si="94"/>
        <v>25.666666666666668</v>
      </c>
      <c r="X992" s="146">
        <f t="shared" si="95"/>
        <v>25.666666666666668</v>
      </c>
    </row>
    <row r="993" spans="1:24" ht="9.75" customHeight="1" x14ac:dyDescent="0.25">
      <c r="A993" s="288">
        <v>850</v>
      </c>
      <c r="B993" s="288"/>
      <c r="D993" s="258" t="s">
        <v>68</v>
      </c>
      <c r="E993" s="289">
        <v>40451</v>
      </c>
      <c r="F993" s="289"/>
      <c r="G993" s="289"/>
      <c r="H993" s="289"/>
      <c r="I993" s="290" t="s">
        <v>205</v>
      </c>
      <c r="J993" s="290"/>
      <c r="K993" s="290"/>
      <c r="L993" s="47">
        <v>33</v>
      </c>
      <c r="M993" s="262">
        <v>2836.36</v>
      </c>
      <c r="N993" s="47">
        <v>100</v>
      </c>
      <c r="O993" s="291">
        <v>537.19000000000005</v>
      </c>
      <c r="P993" s="291"/>
      <c r="Q993" s="291"/>
      <c r="R993" s="262">
        <v>85.95</v>
      </c>
      <c r="S993" s="262">
        <v>623.14</v>
      </c>
      <c r="U993" s="149">
        <f t="shared" si="92"/>
        <v>52496</v>
      </c>
      <c r="V993" s="146">
        <f t="shared" si="93"/>
        <v>7.25</v>
      </c>
      <c r="W993" s="150">
        <f t="shared" si="94"/>
        <v>25.75</v>
      </c>
      <c r="X993" s="146">
        <f t="shared" si="95"/>
        <v>25.75</v>
      </c>
    </row>
    <row r="994" spans="1:24" ht="9.75" customHeight="1" x14ac:dyDescent="0.25">
      <c r="A994" s="288">
        <v>854</v>
      </c>
      <c r="B994" s="288"/>
      <c r="D994" s="258" t="s">
        <v>397</v>
      </c>
      <c r="E994" s="289">
        <v>40482</v>
      </c>
      <c r="F994" s="289"/>
      <c r="G994" s="289"/>
      <c r="H994" s="289"/>
      <c r="I994" s="290" t="s">
        <v>205</v>
      </c>
      <c r="J994" s="290"/>
      <c r="K994" s="290"/>
      <c r="L994" s="47">
        <v>33</v>
      </c>
      <c r="M994" s="262">
        <v>2037.17</v>
      </c>
      <c r="N994" s="47">
        <v>100</v>
      </c>
      <c r="O994" s="291">
        <v>837.5</v>
      </c>
      <c r="P994" s="291"/>
      <c r="Q994" s="291"/>
      <c r="R994" s="262">
        <v>135.81</v>
      </c>
      <c r="S994" s="262">
        <v>973.31000000000006</v>
      </c>
      <c r="U994" s="149">
        <f t="shared" si="92"/>
        <v>52527</v>
      </c>
      <c r="V994" s="146">
        <f t="shared" si="93"/>
        <v>7.166666666666667</v>
      </c>
      <c r="W994" s="150">
        <f t="shared" si="94"/>
        <v>25.833333333333332</v>
      </c>
      <c r="X994" s="146">
        <f t="shared" si="95"/>
        <v>25.833333333333332</v>
      </c>
    </row>
    <row r="995" spans="1:24" ht="9.75" customHeight="1" x14ac:dyDescent="0.25">
      <c r="A995" s="288">
        <v>862</v>
      </c>
      <c r="B995" s="288"/>
      <c r="D995" s="258" t="s">
        <v>397</v>
      </c>
      <c r="E995" s="289">
        <v>40512</v>
      </c>
      <c r="F995" s="289"/>
      <c r="G995" s="289"/>
      <c r="H995" s="289"/>
      <c r="I995" s="290" t="s">
        <v>205</v>
      </c>
      <c r="J995" s="290"/>
      <c r="K995" s="290"/>
      <c r="L995" s="47">
        <v>33</v>
      </c>
      <c r="M995" s="262">
        <v>135</v>
      </c>
      <c r="N995" s="47">
        <v>100</v>
      </c>
      <c r="O995" s="291">
        <v>24.88</v>
      </c>
      <c r="P995" s="291"/>
      <c r="Q995" s="291"/>
      <c r="R995" s="262">
        <v>4.09</v>
      </c>
      <c r="S995" s="262">
        <v>28.97</v>
      </c>
      <c r="U995" s="149">
        <f t="shared" si="92"/>
        <v>52557</v>
      </c>
      <c r="V995" s="146">
        <f t="shared" si="93"/>
        <v>7.083333333333333</v>
      </c>
      <c r="W995" s="150">
        <f t="shared" si="94"/>
        <v>25.916666666666668</v>
      </c>
      <c r="X995" s="146">
        <f t="shared" si="95"/>
        <v>25.916666666666668</v>
      </c>
    </row>
    <row r="996" spans="1:24" ht="9.75" customHeight="1" x14ac:dyDescent="0.25">
      <c r="A996" s="288">
        <v>874</v>
      </c>
      <c r="B996" s="288"/>
      <c r="D996" s="258" t="s">
        <v>68</v>
      </c>
      <c r="E996" s="289">
        <v>40543</v>
      </c>
      <c r="F996" s="289"/>
      <c r="G996" s="289"/>
      <c r="H996" s="289"/>
      <c r="I996" s="290" t="s">
        <v>205</v>
      </c>
      <c r="J996" s="290"/>
      <c r="K996" s="290"/>
      <c r="L996" s="47">
        <v>33</v>
      </c>
      <c r="M996" s="262">
        <v>522</v>
      </c>
      <c r="N996" s="47">
        <v>100</v>
      </c>
      <c r="O996" s="291">
        <v>94.92</v>
      </c>
      <c r="P996" s="291"/>
      <c r="Q996" s="291"/>
      <c r="R996" s="262">
        <v>15.82</v>
      </c>
      <c r="S996" s="262">
        <v>110.74000000000001</v>
      </c>
      <c r="U996" s="149">
        <f t="shared" si="92"/>
        <v>52588</v>
      </c>
      <c r="V996" s="146">
        <f t="shared" si="93"/>
        <v>7</v>
      </c>
      <c r="W996" s="150">
        <f t="shared" si="94"/>
        <v>26</v>
      </c>
      <c r="X996" s="146">
        <f t="shared" si="95"/>
        <v>26</v>
      </c>
    </row>
    <row r="997" spans="1:24" ht="9.75" customHeight="1" x14ac:dyDescent="0.25">
      <c r="A997" s="288">
        <v>879</v>
      </c>
      <c r="B997" s="288"/>
      <c r="D997" s="258" t="s">
        <v>398</v>
      </c>
      <c r="E997" s="289">
        <v>40543</v>
      </c>
      <c r="F997" s="289"/>
      <c r="G997" s="289"/>
      <c r="H997" s="289"/>
      <c r="I997" s="290" t="s">
        <v>258</v>
      </c>
      <c r="J997" s="290"/>
      <c r="K997" s="290"/>
      <c r="L997" s="47">
        <v>33</v>
      </c>
      <c r="M997" s="262">
        <v>1975.32</v>
      </c>
      <c r="N997" s="47">
        <v>100</v>
      </c>
      <c r="O997" s="291">
        <v>1975.32</v>
      </c>
      <c r="P997" s="291"/>
      <c r="Q997" s="291"/>
      <c r="R997" s="262">
        <v>0</v>
      </c>
      <c r="S997" s="262">
        <v>1975.32</v>
      </c>
      <c r="U997" s="149">
        <f t="shared" si="92"/>
        <v>52588</v>
      </c>
      <c r="V997" s="146">
        <f t="shared" si="93"/>
        <v>7</v>
      </c>
      <c r="W997" s="150">
        <f t="shared" si="94"/>
        <v>26</v>
      </c>
      <c r="X997" s="146">
        <f t="shared" ref="X997:X1029" si="96">IF(W997=0,0,W997)</f>
        <v>26</v>
      </c>
    </row>
    <row r="998" spans="1:24" ht="9.75" customHeight="1" x14ac:dyDescent="0.25">
      <c r="A998" s="288">
        <v>882</v>
      </c>
      <c r="B998" s="288"/>
      <c r="D998" s="258" t="s">
        <v>68</v>
      </c>
      <c r="E998" s="289">
        <v>40574</v>
      </c>
      <c r="F998" s="289"/>
      <c r="G998" s="289"/>
      <c r="H998" s="289"/>
      <c r="I998" s="290" t="s">
        <v>205</v>
      </c>
      <c r="J998" s="290"/>
      <c r="K998" s="290"/>
      <c r="L998" s="47">
        <v>33</v>
      </c>
      <c r="M998" s="262">
        <v>1196.45</v>
      </c>
      <c r="N998" s="47">
        <v>100</v>
      </c>
      <c r="O998" s="291">
        <v>214.54</v>
      </c>
      <c r="P998" s="291"/>
      <c r="Q998" s="291"/>
      <c r="R998" s="262">
        <v>36.26</v>
      </c>
      <c r="S998" s="262">
        <v>250.8</v>
      </c>
      <c r="U998" s="149">
        <f t="shared" si="92"/>
        <v>52619</v>
      </c>
      <c r="V998" s="146">
        <f t="shared" si="93"/>
        <v>6.916666666666667</v>
      </c>
      <c r="W998" s="150">
        <f t="shared" si="94"/>
        <v>26.083333333333332</v>
      </c>
      <c r="X998" s="146">
        <f t="shared" si="96"/>
        <v>26.083333333333332</v>
      </c>
    </row>
    <row r="999" spans="1:24" ht="9.75" customHeight="1" x14ac:dyDescent="0.25">
      <c r="A999" s="288">
        <v>886</v>
      </c>
      <c r="B999" s="288"/>
      <c r="D999" s="258" t="s">
        <v>397</v>
      </c>
      <c r="E999" s="289">
        <v>40602</v>
      </c>
      <c r="F999" s="289"/>
      <c r="G999" s="289"/>
      <c r="H999" s="289"/>
      <c r="I999" s="290" t="s">
        <v>205</v>
      </c>
      <c r="J999" s="290"/>
      <c r="K999" s="290"/>
      <c r="L999" s="47">
        <v>33</v>
      </c>
      <c r="M999" s="262">
        <v>378</v>
      </c>
      <c r="N999" s="47">
        <v>100</v>
      </c>
      <c r="O999" s="291">
        <v>66.790000000000006</v>
      </c>
      <c r="P999" s="291"/>
      <c r="Q999" s="291"/>
      <c r="R999" s="262">
        <v>11.450000000000001</v>
      </c>
      <c r="S999" s="262">
        <v>78.239999999999995</v>
      </c>
      <c r="U999" s="149">
        <f t="shared" si="92"/>
        <v>52647</v>
      </c>
      <c r="V999" s="146">
        <f t="shared" si="93"/>
        <v>6.8361111111111112</v>
      </c>
      <c r="W999" s="150">
        <f t="shared" si="94"/>
        <v>26.163888888888888</v>
      </c>
      <c r="X999" s="146">
        <f t="shared" si="96"/>
        <v>26.163888888888888</v>
      </c>
    </row>
    <row r="1000" spans="1:24" ht="9.75" customHeight="1" x14ac:dyDescent="0.25">
      <c r="A1000" s="288">
        <v>890</v>
      </c>
      <c r="B1000" s="288"/>
      <c r="D1000" s="258" t="s">
        <v>397</v>
      </c>
      <c r="E1000" s="289">
        <v>40633</v>
      </c>
      <c r="F1000" s="289"/>
      <c r="G1000" s="289"/>
      <c r="H1000" s="289"/>
      <c r="I1000" s="290" t="s">
        <v>205</v>
      </c>
      <c r="J1000" s="290"/>
      <c r="K1000" s="290"/>
      <c r="L1000" s="47">
        <v>33</v>
      </c>
      <c r="M1000" s="262">
        <v>648</v>
      </c>
      <c r="N1000" s="47">
        <v>100</v>
      </c>
      <c r="O1000" s="291">
        <v>112.93</v>
      </c>
      <c r="P1000" s="291"/>
      <c r="Q1000" s="291"/>
      <c r="R1000" s="262">
        <v>19.64</v>
      </c>
      <c r="S1000" s="262">
        <v>132.57</v>
      </c>
      <c r="U1000" s="149">
        <f t="shared" si="92"/>
        <v>52678</v>
      </c>
      <c r="V1000" s="146">
        <f t="shared" si="93"/>
        <v>6.75</v>
      </c>
      <c r="W1000" s="150">
        <f t="shared" si="94"/>
        <v>26.25</v>
      </c>
      <c r="X1000" s="146">
        <f t="shared" si="96"/>
        <v>26.25</v>
      </c>
    </row>
    <row r="1001" spans="1:24" ht="9.75" customHeight="1" x14ac:dyDescent="0.25">
      <c r="A1001" s="288">
        <v>894</v>
      </c>
      <c r="B1001" s="288"/>
      <c r="D1001" s="258" t="s">
        <v>397</v>
      </c>
      <c r="E1001" s="289">
        <v>40663</v>
      </c>
      <c r="F1001" s="289"/>
      <c r="G1001" s="289"/>
      <c r="H1001" s="289"/>
      <c r="I1001" s="290" t="s">
        <v>205</v>
      </c>
      <c r="J1001" s="290"/>
      <c r="K1001" s="290"/>
      <c r="L1001" s="47">
        <v>33</v>
      </c>
      <c r="M1001" s="262">
        <v>902.65</v>
      </c>
      <c r="N1001" s="47">
        <v>100</v>
      </c>
      <c r="O1001" s="291">
        <v>154.97999999999999</v>
      </c>
      <c r="P1001" s="291"/>
      <c r="Q1001" s="291"/>
      <c r="R1001" s="262">
        <v>27.35</v>
      </c>
      <c r="S1001" s="262">
        <v>182.33</v>
      </c>
      <c r="U1001" s="149">
        <f t="shared" si="92"/>
        <v>52708</v>
      </c>
      <c r="V1001" s="146">
        <f t="shared" si="93"/>
        <v>6.666666666666667</v>
      </c>
      <c r="W1001" s="150">
        <f t="shared" si="94"/>
        <v>26.333333333333332</v>
      </c>
      <c r="X1001" s="146">
        <f t="shared" si="96"/>
        <v>26.333333333333332</v>
      </c>
    </row>
    <row r="1002" spans="1:24" ht="9.75" customHeight="1" x14ac:dyDescent="0.25">
      <c r="A1002" s="288">
        <v>900</v>
      </c>
      <c r="B1002" s="288"/>
      <c r="D1002" s="258" t="s">
        <v>397</v>
      </c>
      <c r="E1002" s="289">
        <v>40694</v>
      </c>
      <c r="F1002" s="289"/>
      <c r="G1002" s="289"/>
      <c r="H1002" s="289"/>
      <c r="I1002" s="290" t="s">
        <v>205</v>
      </c>
      <c r="J1002" s="290"/>
      <c r="K1002" s="290"/>
      <c r="L1002" s="47">
        <v>33</v>
      </c>
      <c r="M1002" s="262">
        <v>648</v>
      </c>
      <c r="N1002" s="47">
        <v>100</v>
      </c>
      <c r="O1002" s="291">
        <v>109.66</v>
      </c>
      <c r="P1002" s="291"/>
      <c r="Q1002" s="291"/>
      <c r="R1002" s="262">
        <v>19.64</v>
      </c>
      <c r="S1002" s="262">
        <v>129.30000000000001</v>
      </c>
      <c r="U1002" s="149">
        <f t="shared" si="92"/>
        <v>52739</v>
      </c>
      <c r="V1002" s="146">
        <f t="shared" si="93"/>
        <v>6.583333333333333</v>
      </c>
      <c r="W1002" s="150">
        <f t="shared" si="94"/>
        <v>26.416666666666668</v>
      </c>
      <c r="X1002" s="146">
        <f t="shared" si="96"/>
        <v>26.416666666666668</v>
      </c>
    </row>
    <row r="1003" spans="1:24" ht="9.75" customHeight="1" x14ac:dyDescent="0.25">
      <c r="A1003" s="288">
        <v>903</v>
      </c>
      <c r="B1003" s="288"/>
      <c r="D1003" s="258" t="s">
        <v>397</v>
      </c>
      <c r="E1003" s="289">
        <v>40724</v>
      </c>
      <c r="F1003" s="289"/>
      <c r="G1003" s="289"/>
      <c r="H1003" s="289"/>
      <c r="I1003" s="290" t="s">
        <v>205</v>
      </c>
      <c r="J1003" s="290"/>
      <c r="K1003" s="290"/>
      <c r="L1003" s="47">
        <v>33</v>
      </c>
      <c r="M1003" s="262">
        <v>4390.2</v>
      </c>
      <c r="N1003" s="47">
        <v>100</v>
      </c>
      <c r="O1003" s="291">
        <v>731.72</v>
      </c>
      <c r="P1003" s="291"/>
      <c r="Q1003" s="291"/>
      <c r="R1003" s="262">
        <v>133.04</v>
      </c>
      <c r="S1003" s="262">
        <v>864.76</v>
      </c>
      <c r="U1003" s="149">
        <f t="shared" si="92"/>
        <v>52769</v>
      </c>
      <c r="V1003" s="146">
        <f t="shared" si="93"/>
        <v>6.5</v>
      </c>
      <c r="W1003" s="150">
        <f t="shared" si="94"/>
        <v>26.5</v>
      </c>
      <c r="X1003" s="146">
        <f t="shared" si="96"/>
        <v>26.5</v>
      </c>
    </row>
    <row r="1004" spans="1:24" ht="9.75" customHeight="1" x14ac:dyDescent="0.25">
      <c r="A1004" s="288">
        <v>907</v>
      </c>
      <c r="B1004" s="288"/>
      <c r="D1004" s="258" t="s">
        <v>399</v>
      </c>
      <c r="E1004" s="289">
        <v>40736</v>
      </c>
      <c r="F1004" s="289"/>
      <c r="G1004" s="289"/>
      <c r="H1004" s="289"/>
      <c r="I1004" s="290" t="s">
        <v>205</v>
      </c>
      <c r="J1004" s="290"/>
      <c r="K1004" s="290"/>
      <c r="L1004" s="47">
        <v>33</v>
      </c>
      <c r="M1004" s="262">
        <v>581.01</v>
      </c>
      <c r="N1004" s="47">
        <v>100</v>
      </c>
      <c r="O1004" s="291">
        <v>96.86</v>
      </c>
      <c r="P1004" s="291"/>
      <c r="Q1004" s="291"/>
      <c r="R1004" s="262">
        <v>17.61</v>
      </c>
      <c r="S1004" s="262">
        <v>114.47</v>
      </c>
      <c r="U1004" s="149">
        <f t="shared" si="92"/>
        <v>52781</v>
      </c>
      <c r="V1004" s="146">
        <f t="shared" si="93"/>
        <v>6.4694444444444441</v>
      </c>
      <c r="W1004" s="150">
        <f t="shared" si="94"/>
        <v>26.530555555555555</v>
      </c>
      <c r="X1004" s="146">
        <f t="shared" si="96"/>
        <v>26.530555555555555</v>
      </c>
    </row>
    <row r="1005" spans="1:24" ht="9.75" customHeight="1" x14ac:dyDescent="0.25">
      <c r="A1005" s="288">
        <v>908</v>
      </c>
      <c r="B1005" s="288"/>
      <c r="D1005" s="258" t="s">
        <v>397</v>
      </c>
      <c r="E1005" s="289">
        <v>40755</v>
      </c>
      <c r="F1005" s="289"/>
      <c r="G1005" s="289"/>
      <c r="H1005" s="289"/>
      <c r="I1005" s="290" t="s">
        <v>205</v>
      </c>
      <c r="J1005" s="290"/>
      <c r="K1005" s="290"/>
      <c r="L1005" s="47">
        <v>33</v>
      </c>
      <c r="M1005" s="262">
        <v>41759.980000000003</v>
      </c>
      <c r="N1005" s="47">
        <v>100</v>
      </c>
      <c r="O1005" s="291">
        <v>6854.52</v>
      </c>
      <c r="P1005" s="291"/>
      <c r="Q1005" s="291"/>
      <c r="R1005" s="262">
        <v>1265.45</v>
      </c>
      <c r="S1005" s="262">
        <v>8119.97</v>
      </c>
      <c r="U1005" s="149">
        <f t="shared" si="92"/>
        <v>52800</v>
      </c>
      <c r="V1005" s="146">
        <f t="shared" si="93"/>
        <v>6.416666666666667</v>
      </c>
      <c r="W1005" s="150">
        <f t="shared" si="94"/>
        <v>26.583333333333332</v>
      </c>
      <c r="X1005" s="146">
        <f t="shared" si="96"/>
        <v>26.583333333333332</v>
      </c>
    </row>
    <row r="1006" spans="1:24" ht="9.75" customHeight="1" x14ac:dyDescent="0.25">
      <c r="A1006" s="288">
        <v>912</v>
      </c>
      <c r="B1006" s="288"/>
      <c r="D1006" s="258" t="s">
        <v>397</v>
      </c>
      <c r="E1006" s="289">
        <v>40786</v>
      </c>
      <c r="F1006" s="289"/>
      <c r="G1006" s="289"/>
      <c r="H1006" s="289"/>
      <c r="I1006" s="290" t="s">
        <v>205</v>
      </c>
      <c r="J1006" s="290"/>
      <c r="K1006" s="290"/>
      <c r="L1006" s="47">
        <v>33</v>
      </c>
      <c r="M1006" s="262">
        <v>2648.87</v>
      </c>
      <c r="N1006" s="47">
        <v>100</v>
      </c>
      <c r="O1006" s="291">
        <v>428.11</v>
      </c>
      <c r="P1006" s="291"/>
      <c r="Q1006" s="291"/>
      <c r="R1006" s="262">
        <v>80.27</v>
      </c>
      <c r="S1006" s="262">
        <v>508.38</v>
      </c>
      <c r="U1006" s="149">
        <f t="shared" si="92"/>
        <v>52831</v>
      </c>
      <c r="V1006" s="146">
        <f t="shared" si="93"/>
        <v>6.333333333333333</v>
      </c>
      <c r="W1006" s="150">
        <f t="shared" si="94"/>
        <v>26.666666666666668</v>
      </c>
      <c r="X1006" s="146">
        <f t="shared" si="96"/>
        <v>26.666666666666668</v>
      </c>
    </row>
    <row r="1007" spans="1:24" ht="9.75" customHeight="1" x14ac:dyDescent="0.25">
      <c r="A1007" s="288">
        <v>917</v>
      </c>
      <c r="B1007" s="288"/>
      <c r="D1007" s="258" t="s">
        <v>397</v>
      </c>
      <c r="E1007" s="289">
        <v>40816</v>
      </c>
      <c r="F1007" s="289"/>
      <c r="G1007" s="289"/>
      <c r="H1007" s="289"/>
      <c r="I1007" s="290" t="s">
        <v>205</v>
      </c>
      <c r="J1007" s="290"/>
      <c r="K1007" s="290"/>
      <c r="L1007" s="47">
        <v>33</v>
      </c>
      <c r="M1007" s="262">
        <v>216</v>
      </c>
      <c r="N1007" s="47">
        <v>100</v>
      </c>
      <c r="O1007" s="291">
        <v>34.39</v>
      </c>
      <c r="P1007" s="291"/>
      <c r="Q1007" s="291"/>
      <c r="R1007" s="262">
        <v>6.55</v>
      </c>
      <c r="S1007" s="262">
        <v>40.94</v>
      </c>
      <c r="U1007" s="149">
        <f t="shared" si="92"/>
        <v>52861</v>
      </c>
      <c r="V1007" s="146">
        <f t="shared" si="93"/>
        <v>6.25</v>
      </c>
      <c r="W1007" s="150">
        <f t="shared" si="94"/>
        <v>26.75</v>
      </c>
      <c r="X1007" s="146">
        <f t="shared" si="96"/>
        <v>26.75</v>
      </c>
    </row>
    <row r="1008" spans="1:24" ht="9.75" customHeight="1" x14ac:dyDescent="0.25">
      <c r="A1008" s="288">
        <v>922</v>
      </c>
      <c r="B1008" s="288"/>
      <c r="D1008" s="258" t="s">
        <v>397</v>
      </c>
      <c r="E1008" s="289">
        <v>40847</v>
      </c>
      <c r="F1008" s="289"/>
      <c r="G1008" s="289"/>
      <c r="H1008" s="289"/>
      <c r="I1008" s="290" t="s">
        <v>205</v>
      </c>
      <c r="J1008" s="290"/>
      <c r="K1008" s="290"/>
      <c r="L1008" s="47">
        <v>33</v>
      </c>
      <c r="M1008" s="262">
        <v>9364.82</v>
      </c>
      <c r="N1008" s="47">
        <v>100</v>
      </c>
      <c r="O1008" s="291">
        <v>1466.2</v>
      </c>
      <c r="P1008" s="291"/>
      <c r="Q1008" s="291"/>
      <c r="R1008" s="262">
        <v>283.77999999999997</v>
      </c>
      <c r="S1008" s="262">
        <v>1749.98</v>
      </c>
      <c r="U1008" s="149">
        <f t="shared" si="92"/>
        <v>52892</v>
      </c>
      <c r="V1008" s="146">
        <f t="shared" si="93"/>
        <v>6.166666666666667</v>
      </c>
      <c r="W1008" s="150">
        <f t="shared" si="94"/>
        <v>26.833333333333332</v>
      </c>
      <c r="X1008" s="146">
        <f t="shared" si="96"/>
        <v>26.833333333333332</v>
      </c>
    </row>
    <row r="1009" spans="1:24" ht="9.75" customHeight="1" x14ac:dyDescent="0.25">
      <c r="A1009" s="288">
        <v>926</v>
      </c>
      <c r="B1009" s="288"/>
      <c r="D1009" s="258" t="s">
        <v>397</v>
      </c>
      <c r="E1009" s="289">
        <v>40877</v>
      </c>
      <c r="F1009" s="289"/>
      <c r="G1009" s="289"/>
      <c r="H1009" s="289"/>
      <c r="I1009" s="290" t="s">
        <v>205</v>
      </c>
      <c r="J1009" s="290"/>
      <c r="K1009" s="290"/>
      <c r="L1009" s="47">
        <v>33</v>
      </c>
      <c r="M1009" s="262">
        <v>10813.98</v>
      </c>
      <c r="N1009" s="47">
        <v>100</v>
      </c>
      <c r="O1009" s="291">
        <v>1665.81</v>
      </c>
      <c r="P1009" s="291"/>
      <c r="Q1009" s="291"/>
      <c r="R1009" s="262">
        <v>327.7</v>
      </c>
      <c r="S1009" s="262">
        <v>1993.51</v>
      </c>
      <c r="U1009" s="149">
        <f t="shared" si="92"/>
        <v>52922</v>
      </c>
      <c r="V1009" s="146">
        <f t="shared" si="93"/>
        <v>6.083333333333333</v>
      </c>
      <c r="W1009" s="150">
        <f t="shared" si="94"/>
        <v>26.916666666666668</v>
      </c>
      <c r="X1009" s="146">
        <f t="shared" si="96"/>
        <v>26.916666666666668</v>
      </c>
    </row>
    <row r="1010" spans="1:24" ht="9.75" customHeight="1" x14ac:dyDescent="0.25">
      <c r="A1010" s="288">
        <v>931</v>
      </c>
      <c r="B1010" s="288"/>
      <c r="D1010" s="258" t="s">
        <v>397</v>
      </c>
      <c r="E1010" s="289">
        <v>40908</v>
      </c>
      <c r="F1010" s="289"/>
      <c r="G1010" s="289"/>
      <c r="H1010" s="289"/>
      <c r="I1010" s="290" t="s">
        <v>205</v>
      </c>
      <c r="J1010" s="290"/>
      <c r="K1010" s="290"/>
      <c r="L1010" s="47">
        <v>33</v>
      </c>
      <c r="M1010" s="262">
        <v>3610.31</v>
      </c>
      <c r="N1010" s="47">
        <v>100</v>
      </c>
      <c r="O1010" s="291">
        <v>547</v>
      </c>
      <c r="P1010" s="291"/>
      <c r="Q1010" s="291"/>
      <c r="R1010" s="262">
        <v>109.4</v>
      </c>
      <c r="S1010" s="262">
        <v>656.4</v>
      </c>
      <c r="U1010" s="149">
        <f t="shared" si="92"/>
        <v>52953</v>
      </c>
      <c r="V1010" s="146">
        <f t="shared" si="93"/>
        <v>6</v>
      </c>
      <c r="W1010" s="150">
        <f t="shared" si="94"/>
        <v>27</v>
      </c>
      <c r="X1010" s="146">
        <f t="shared" si="96"/>
        <v>27</v>
      </c>
    </row>
    <row r="1011" spans="1:24" ht="9.75" customHeight="1" x14ac:dyDescent="0.25">
      <c r="A1011" s="288">
        <v>935</v>
      </c>
      <c r="B1011" s="288"/>
      <c r="D1011" s="258" t="s">
        <v>397</v>
      </c>
      <c r="E1011" s="289">
        <v>40939</v>
      </c>
      <c r="F1011" s="289"/>
      <c r="G1011" s="289"/>
      <c r="H1011" s="289"/>
      <c r="I1011" s="290" t="s">
        <v>205</v>
      </c>
      <c r="J1011" s="290"/>
      <c r="K1011" s="290"/>
      <c r="L1011" s="47">
        <v>33</v>
      </c>
      <c r="M1011" s="262">
        <v>90</v>
      </c>
      <c r="N1011" s="47">
        <v>100</v>
      </c>
      <c r="O1011" s="291">
        <v>13.42</v>
      </c>
      <c r="P1011" s="291"/>
      <c r="Q1011" s="291"/>
      <c r="R1011" s="262">
        <v>2.73</v>
      </c>
      <c r="S1011" s="262">
        <v>16.149999999999999</v>
      </c>
      <c r="U1011" s="149">
        <f t="shared" si="92"/>
        <v>52984</v>
      </c>
      <c r="V1011" s="146">
        <f t="shared" si="93"/>
        <v>5.916666666666667</v>
      </c>
      <c r="W1011" s="150">
        <f t="shared" si="94"/>
        <v>27.083333333333332</v>
      </c>
      <c r="X1011" s="146">
        <f t="shared" si="96"/>
        <v>27.083333333333332</v>
      </c>
    </row>
    <row r="1012" spans="1:24" ht="9.75" customHeight="1" x14ac:dyDescent="0.25">
      <c r="A1012" s="288">
        <v>938</v>
      </c>
      <c r="B1012" s="288"/>
      <c r="D1012" s="258" t="s">
        <v>397</v>
      </c>
      <c r="E1012" s="289">
        <v>40968</v>
      </c>
      <c r="F1012" s="289"/>
      <c r="G1012" s="289"/>
      <c r="H1012" s="289"/>
      <c r="I1012" s="290" t="s">
        <v>205</v>
      </c>
      <c r="J1012" s="290"/>
      <c r="K1012" s="290"/>
      <c r="L1012" s="47">
        <v>33</v>
      </c>
      <c r="M1012" s="262">
        <v>171</v>
      </c>
      <c r="N1012" s="47">
        <v>100</v>
      </c>
      <c r="O1012" s="291">
        <v>25.04</v>
      </c>
      <c r="P1012" s="291"/>
      <c r="Q1012" s="291"/>
      <c r="R1012" s="262">
        <v>5.18</v>
      </c>
      <c r="S1012" s="262">
        <v>30.22</v>
      </c>
      <c r="U1012" s="149">
        <f t="shared" si="92"/>
        <v>53013</v>
      </c>
      <c r="V1012" s="146">
        <f t="shared" si="93"/>
        <v>5.8361111111111112</v>
      </c>
      <c r="W1012" s="150">
        <f t="shared" si="94"/>
        <v>27.163888888888888</v>
      </c>
      <c r="X1012" s="146">
        <f t="shared" si="96"/>
        <v>27.163888888888888</v>
      </c>
    </row>
    <row r="1013" spans="1:24" ht="9.75" customHeight="1" x14ac:dyDescent="0.25">
      <c r="A1013" s="288">
        <v>942</v>
      </c>
      <c r="B1013" s="288"/>
      <c r="D1013" s="258" t="s">
        <v>397</v>
      </c>
      <c r="E1013" s="289">
        <v>40999</v>
      </c>
      <c r="F1013" s="289"/>
      <c r="G1013" s="289"/>
      <c r="H1013" s="289"/>
      <c r="I1013" s="290" t="s">
        <v>205</v>
      </c>
      <c r="J1013" s="290"/>
      <c r="K1013" s="290"/>
      <c r="L1013" s="47">
        <v>33</v>
      </c>
      <c r="M1013" s="262">
        <v>351</v>
      </c>
      <c r="N1013" s="47">
        <v>100</v>
      </c>
      <c r="O1013" s="291">
        <v>50.54</v>
      </c>
      <c r="P1013" s="291"/>
      <c r="Q1013" s="291"/>
      <c r="R1013" s="262">
        <v>10.64</v>
      </c>
      <c r="S1013" s="262">
        <v>61.18</v>
      </c>
      <c r="U1013" s="149">
        <f t="shared" si="92"/>
        <v>53044</v>
      </c>
      <c r="V1013" s="146">
        <f t="shared" si="93"/>
        <v>5.75</v>
      </c>
      <c r="W1013" s="150">
        <f t="shared" si="94"/>
        <v>27.25</v>
      </c>
      <c r="X1013" s="146">
        <f t="shared" si="96"/>
        <v>27.25</v>
      </c>
    </row>
    <row r="1014" spans="1:24" ht="9.75" customHeight="1" x14ac:dyDescent="0.25">
      <c r="A1014" s="288">
        <v>945</v>
      </c>
      <c r="B1014" s="288"/>
      <c r="D1014" s="258" t="s">
        <v>397</v>
      </c>
      <c r="E1014" s="289">
        <v>41029</v>
      </c>
      <c r="F1014" s="289"/>
      <c r="G1014" s="289"/>
      <c r="H1014" s="289"/>
      <c r="I1014" s="290" t="s">
        <v>205</v>
      </c>
      <c r="J1014" s="290"/>
      <c r="K1014" s="290"/>
      <c r="L1014" s="47">
        <v>33</v>
      </c>
      <c r="M1014" s="262">
        <v>11372</v>
      </c>
      <c r="N1014" s="47">
        <v>100</v>
      </c>
      <c r="O1014" s="291">
        <v>1608.18</v>
      </c>
      <c r="P1014" s="291"/>
      <c r="Q1014" s="291"/>
      <c r="R1014" s="262">
        <v>344.61</v>
      </c>
      <c r="S1014" s="262">
        <v>1952.79</v>
      </c>
      <c r="U1014" s="149">
        <f t="shared" si="92"/>
        <v>53074</v>
      </c>
      <c r="V1014" s="146">
        <f t="shared" si="93"/>
        <v>5.666666666666667</v>
      </c>
      <c r="W1014" s="150">
        <f t="shared" si="94"/>
        <v>27.333333333333332</v>
      </c>
      <c r="X1014" s="146">
        <f t="shared" si="96"/>
        <v>27.333333333333332</v>
      </c>
    </row>
    <row r="1015" spans="1:24" ht="9.75" customHeight="1" x14ac:dyDescent="0.25">
      <c r="A1015" s="288">
        <v>948</v>
      </c>
      <c r="B1015" s="288"/>
      <c r="D1015" s="258" t="s">
        <v>397</v>
      </c>
      <c r="E1015" s="289">
        <v>41060</v>
      </c>
      <c r="F1015" s="289"/>
      <c r="G1015" s="289"/>
      <c r="H1015" s="289"/>
      <c r="I1015" s="290" t="s">
        <v>205</v>
      </c>
      <c r="J1015" s="290"/>
      <c r="K1015" s="290"/>
      <c r="L1015" s="47">
        <v>33</v>
      </c>
      <c r="M1015" s="262">
        <v>3719.98</v>
      </c>
      <c r="N1015" s="47">
        <v>100</v>
      </c>
      <c r="O1015" s="291">
        <v>516.67999999999995</v>
      </c>
      <c r="P1015" s="291"/>
      <c r="Q1015" s="291"/>
      <c r="R1015" s="262">
        <v>112.73</v>
      </c>
      <c r="S1015" s="262">
        <v>629.41</v>
      </c>
      <c r="U1015" s="149">
        <f t="shared" si="92"/>
        <v>53105</v>
      </c>
      <c r="V1015" s="146">
        <f t="shared" si="93"/>
        <v>5.583333333333333</v>
      </c>
      <c r="W1015" s="150">
        <f t="shared" si="94"/>
        <v>27.416666666666668</v>
      </c>
      <c r="X1015" s="146">
        <f t="shared" si="96"/>
        <v>27.416666666666668</v>
      </c>
    </row>
    <row r="1016" spans="1:24" ht="9.75" customHeight="1" x14ac:dyDescent="0.25">
      <c r="A1016" s="288">
        <v>953</v>
      </c>
      <c r="B1016" s="288"/>
      <c r="D1016" s="258" t="s">
        <v>397</v>
      </c>
      <c r="E1016" s="289">
        <v>41090</v>
      </c>
      <c r="F1016" s="289"/>
      <c r="G1016" s="289"/>
      <c r="H1016" s="289"/>
      <c r="I1016" s="290" t="s">
        <v>205</v>
      </c>
      <c r="J1016" s="290"/>
      <c r="K1016" s="290"/>
      <c r="L1016" s="47">
        <v>33</v>
      </c>
      <c r="M1016" s="262">
        <v>1107</v>
      </c>
      <c r="N1016" s="47">
        <v>100</v>
      </c>
      <c r="O1016" s="291">
        <v>150.97999999999999</v>
      </c>
      <c r="P1016" s="291"/>
      <c r="Q1016" s="291"/>
      <c r="R1016" s="262">
        <v>33.549999999999997</v>
      </c>
      <c r="S1016" s="262">
        <v>184.53</v>
      </c>
      <c r="U1016" s="149">
        <f t="shared" si="92"/>
        <v>53135</v>
      </c>
      <c r="V1016" s="146">
        <f t="shared" si="93"/>
        <v>5.5</v>
      </c>
      <c r="W1016" s="150">
        <f t="shared" si="94"/>
        <v>27.5</v>
      </c>
      <c r="X1016" s="146">
        <f t="shared" si="96"/>
        <v>27.5</v>
      </c>
    </row>
    <row r="1017" spans="1:24" ht="9.75" customHeight="1" x14ac:dyDescent="0.25">
      <c r="A1017" s="288">
        <v>954</v>
      </c>
      <c r="B1017" s="288"/>
      <c r="D1017" s="258" t="s">
        <v>400</v>
      </c>
      <c r="E1017" s="289">
        <v>41089</v>
      </c>
      <c r="F1017" s="289"/>
      <c r="G1017" s="289"/>
      <c r="H1017" s="289"/>
      <c r="I1017" s="290" t="s">
        <v>205</v>
      </c>
      <c r="J1017" s="290"/>
      <c r="K1017" s="290"/>
      <c r="L1017" s="47">
        <v>33</v>
      </c>
      <c r="M1017" s="262">
        <v>43827.5</v>
      </c>
      <c r="N1017" s="47">
        <v>100</v>
      </c>
      <c r="O1017" s="291">
        <v>5976.5</v>
      </c>
      <c r="P1017" s="291"/>
      <c r="Q1017" s="291"/>
      <c r="R1017" s="262">
        <v>1328.1100000000001</v>
      </c>
      <c r="S1017" s="262">
        <v>7304.6100000000006</v>
      </c>
      <c r="U1017" s="149">
        <f t="shared" si="92"/>
        <v>53134</v>
      </c>
      <c r="V1017" s="146">
        <f t="shared" si="93"/>
        <v>5.5055555555555555</v>
      </c>
      <c r="W1017" s="150">
        <f t="shared" si="94"/>
        <v>27.494444444444444</v>
      </c>
      <c r="X1017" s="146">
        <f t="shared" si="96"/>
        <v>27.494444444444444</v>
      </c>
    </row>
    <row r="1018" spans="1:24" ht="9.75" customHeight="1" x14ac:dyDescent="0.25">
      <c r="A1018" s="288">
        <v>959</v>
      </c>
      <c r="B1018" s="288"/>
      <c r="D1018" s="258" t="s">
        <v>397</v>
      </c>
      <c r="E1018" s="289">
        <v>41121</v>
      </c>
      <c r="F1018" s="289"/>
      <c r="G1018" s="289"/>
      <c r="H1018" s="289"/>
      <c r="I1018" s="290" t="s">
        <v>205</v>
      </c>
      <c r="J1018" s="290"/>
      <c r="K1018" s="290"/>
      <c r="L1018" s="47">
        <v>33</v>
      </c>
      <c r="M1018" s="262">
        <v>414</v>
      </c>
      <c r="N1018" s="47">
        <v>100</v>
      </c>
      <c r="O1018" s="291">
        <v>55.43</v>
      </c>
      <c r="P1018" s="291"/>
      <c r="Q1018" s="291"/>
      <c r="R1018" s="262">
        <v>12.55</v>
      </c>
      <c r="S1018" s="262">
        <v>67.98</v>
      </c>
      <c r="U1018" s="149">
        <f t="shared" si="92"/>
        <v>53166</v>
      </c>
      <c r="V1018" s="146">
        <f t="shared" si="93"/>
        <v>5.416666666666667</v>
      </c>
      <c r="W1018" s="150">
        <f t="shared" si="94"/>
        <v>27.583333333333332</v>
      </c>
      <c r="X1018" s="146">
        <f t="shared" si="96"/>
        <v>27.583333333333332</v>
      </c>
    </row>
    <row r="1019" spans="1:24" ht="9.75" customHeight="1" x14ac:dyDescent="0.25">
      <c r="A1019" s="288">
        <v>965</v>
      </c>
      <c r="B1019" s="288"/>
      <c r="D1019" s="258" t="s">
        <v>397</v>
      </c>
      <c r="E1019" s="289">
        <v>41152</v>
      </c>
      <c r="F1019" s="289"/>
      <c r="G1019" s="289"/>
      <c r="H1019" s="289"/>
      <c r="I1019" s="290" t="s">
        <v>205</v>
      </c>
      <c r="J1019" s="290"/>
      <c r="K1019" s="290"/>
      <c r="L1019" s="47">
        <v>33</v>
      </c>
      <c r="M1019" s="262">
        <v>3420</v>
      </c>
      <c r="N1019" s="47">
        <v>100</v>
      </c>
      <c r="O1019" s="291">
        <v>449.11</v>
      </c>
      <c r="P1019" s="291"/>
      <c r="Q1019" s="291"/>
      <c r="R1019" s="262">
        <v>103.64</v>
      </c>
      <c r="S1019" s="262">
        <v>552.75</v>
      </c>
      <c r="U1019" s="149">
        <f t="shared" si="92"/>
        <v>53197</v>
      </c>
      <c r="V1019" s="146">
        <f t="shared" si="93"/>
        <v>5.333333333333333</v>
      </c>
      <c r="W1019" s="150">
        <f t="shared" si="94"/>
        <v>27.666666666666668</v>
      </c>
      <c r="X1019" s="146">
        <f t="shared" si="96"/>
        <v>27.666666666666668</v>
      </c>
    </row>
    <row r="1020" spans="1:24" ht="9.75" customHeight="1" x14ac:dyDescent="0.25">
      <c r="A1020" s="288">
        <v>971</v>
      </c>
      <c r="B1020" s="288"/>
      <c r="D1020" s="258" t="s">
        <v>302</v>
      </c>
      <c r="E1020" s="289">
        <v>41156</v>
      </c>
      <c r="F1020" s="289"/>
      <c r="G1020" s="289"/>
      <c r="H1020" s="289"/>
      <c r="I1020" s="290" t="s">
        <v>205</v>
      </c>
      <c r="J1020" s="290"/>
      <c r="K1020" s="290"/>
      <c r="L1020" s="47">
        <v>33</v>
      </c>
      <c r="M1020" s="262">
        <v>20867.5</v>
      </c>
      <c r="N1020" s="47">
        <v>100</v>
      </c>
      <c r="O1020" s="291">
        <v>2740.18</v>
      </c>
      <c r="P1020" s="291"/>
      <c r="Q1020" s="291"/>
      <c r="R1020" s="262">
        <v>632.35</v>
      </c>
      <c r="S1020" s="262">
        <v>3372.53</v>
      </c>
      <c r="U1020" s="149">
        <f t="shared" si="92"/>
        <v>53201</v>
      </c>
      <c r="V1020" s="146">
        <f t="shared" si="93"/>
        <v>5.3250000000000002</v>
      </c>
      <c r="W1020" s="150">
        <f t="shared" si="94"/>
        <v>27.675000000000001</v>
      </c>
      <c r="X1020" s="146">
        <f t="shared" si="96"/>
        <v>27.675000000000001</v>
      </c>
    </row>
    <row r="1021" spans="1:24" ht="9.75" customHeight="1" x14ac:dyDescent="0.25">
      <c r="A1021" s="288">
        <v>973</v>
      </c>
      <c r="B1021" s="288"/>
      <c r="D1021" s="258" t="s">
        <v>397</v>
      </c>
      <c r="E1021" s="289">
        <v>41182</v>
      </c>
      <c r="F1021" s="289"/>
      <c r="G1021" s="289"/>
      <c r="H1021" s="289"/>
      <c r="I1021" s="290" t="s">
        <v>205</v>
      </c>
      <c r="J1021" s="290"/>
      <c r="K1021" s="290"/>
      <c r="L1021" s="47">
        <v>33</v>
      </c>
      <c r="M1021" s="262">
        <v>603</v>
      </c>
      <c r="N1021" s="47">
        <v>100</v>
      </c>
      <c r="O1021" s="291">
        <v>77.650000000000006</v>
      </c>
      <c r="P1021" s="291"/>
      <c r="Q1021" s="291"/>
      <c r="R1021" s="262">
        <v>18.27</v>
      </c>
      <c r="S1021" s="262">
        <v>95.92</v>
      </c>
      <c r="U1021" s="149">
        <f t="shared" si="92"/>
        <v>53227</v>
      </c>
      <c r="V1021" s="146">
        <f t="shared" si="93"/>
        <v>5.25</v>
      </c>
      <c r="W1021" s="150">
        <f t="shared" si="94"/>
        <v>27.75</v>
      </c>
      <c r="X1021" s="146">
        <f t="shared" si="96"/>
        <v>27.75</v>
      </c>
    </row>
    <row r="1022" spans="1:24" ht="9.75" customHeight="1" x14ac:dyDescent="0.25">
      <c r="A1022" s="288">
        <v>977</v>
      </c>
      <c r="B1022" s="288"/>
      <c r="D1022" s="258" t="s">
        <v>397</v>
      </c>
      <c r="E1022" s="289">
        <v>41213</v>
      </c>
      <c r="F1022" s="289"/>
      <c r="G1022" s="289"/>
      <c r="H1022" s="289"/>
      <c r="I1022" s="290" t="s">
        <v>205</v>
      </c>
      <c r="J1022" s="290"/>
      <c r="K1022" s="290"/>
      <c r="L1022" s="47">
        <v>33</v>
      </c>
      <c r="M1022" s="262">
        <v>756</v>
      </c>
      <c r="N1022" s="47">
        <v>100</v>
      </c>
      <c r="O1022" s="291">
        <v>95.460000000000008</v>
      </c>
      <c r="P1022" s="291"/>
      <c r="Q1022" s="291"/>
      <c r="R1022" s="262">
        <v>22.91</v>
      </c>
      <c r="S1022" s="262">
        <v>118.37</v>
      </c>
      <c r="U1022" s="149">
        <f t="shared" si="92"/>
        <v>53258</v>
      </c>
      <c r="V1022" s="146">
        <f t="shared" si="93"/>
        <v>5.166666666666667</v>
      </c>
      <c r="W1022" s="150">
        <f t="shared" si="94"/>
        <v>27.833333333333332</v>
      </c>
      <c r="X1022" s="146">
        <f t="shared" si="96"/>
        <v>27.833333333333332</v>
      </c>
    </row>
    <row r="1023" spans="1:24" ht="9.75" customHeight="1" x14ac:dyDescent="0.25">
      <c r="A1023" s="288">
        <v>981</v>
      </c>
      <c r="B1023" s="288"/>
      <c r="D1023" s="258" t="s">
        <v>68</v>
      </c>
      <c r="E1023" s="289">
        <v>41305</v>
      </c>
      <c r="F1023" s="289"/>
      <c r="G1023" s="289"/>
      <c r="H1023" s="289"/>
      <c r="I1023" s="290" t="s">
        <v>205</v>
      </c>
      <c r="J1023" s="290"/>
      <c r="K1023" s="290"/>
      <c r="L1023" s="47">
        <v>33</v>
      </c>
      <c r="M1023" s="262">
        <v>2488.13</v>
      </c>
      <c r="N1023" s="47">
        <v>100</v>
      </c>
      <c r="O1023" s="291">
        <v>295.32</v>
      </c>
      <c r="P1023" s="291"/>
      <c r="Q1023" s="291"/>
      <c r="R1023" s="262">
        <v>75.400000000000006</v>
      </c>
      <c r="S1023" s="262">
        <v>370.72</v>
      </c>
      <c r="U1023" s="149">
        <f t="shared" si="92"/>
        <v>53350</v>
      </c>
      <c r="V1023" s="146">
        <f t="shared" si="93"/>
        <v>4.916666666666667</v>
      </c>
      <c r="W1023" s="150">
        <f t="shared" si="94"/>
        <v>28.083333333333332</v>
      </c>
      <c r="X1023" s="146">
        <f t="shared" si="96"/>
        <v>28.083333333333332</v>
      </c>
    </row>
    <row r="1024" spans="1:24" ht="9.75" customHeight="1" x14ac:dyDescent="0.25">
      <c r="A1024" s="288">
        <v>983</v>
      </c>
      <c r="B1024" s="288"/>
      <c r="D1024" s="258" t="s">
        <v>68</v>
      </c>
      <c r="E1024" s="289">
        <v>41333</v>
      </c>
      <c r="F1024" s="289"/>
      <c r="G1024" s="289"/>
      <c r="H1024" s="289"/>
      <c r="I1024" s="290" t="s">
        <v>205</v>
      </c>
      <c r="J1024" s="290"/>
      <c r="K1024" s="290"/>
      <c r="L1024" s="47">
        <v>33</v>
      </c>
      <c r="M1024" s="262">
        <v>540</v>
      </c>
      <c r="N1024" s="47">
        <v>100</v>
      </c>
      <c r="O1024" s="291">
        <v>62.71</v>
      </c>
      <c r="P1024" s="291"/>
      <c r="Q1024" s="291"/>
      <c r="R1024" s="262">
        <v>16.36</v>
      </c>
      <c r="S1024" s="262">
        <v>79.069999999999993</v>
      </c>
      <c r="U1024" s="149">
        <f t="shared" si="92"/>
        <v>53378</v>
      </c>
      <c r="V1024" s="146">
        <f t="shared" si="93"/>
        <v>4.8361111111111112</v>
      </c>
      <c r="W1024" s="150">
        <f t="shared" si="94"/>
        <v>28.163888888888888</v>
      </c>
      <c r="X1024" s="146">
        <f t="shared" si="96"/>
        <v>28.163888888888888</v>
      </c>
    </row>
    <row r="1025" spans="1:24" ht="9.75" customHeight="1" x14ac:dyDescent="0.25">
      <c r="A1025" s="288">
        <v>985</v>
      </c>
      <c r="B1025" s="288"/>
      <c r="D1025" s="258" t="s">
        <v>68</v>
      </c>
      <c r="E1025" s="289">
        <v>41243</v>
      </c>
      <c r="F1025" s="289"/>
      <c r="G1025" s="289"/>
      <c r="H1025" s="289"/>
      <c r="I1025" s="290" t="s">
        <v>205</v>
      </c>
      <c r="J1025" s="290"/>
      <c r="K1025" s="290"/>
      <c r="L1025" s="47">
        <v>33</v>
      </c>
      <c r="M1025" s="262">
        <v>5044.47</v>
      </c>
      <c r="N1025" s="47">
        <v>100</v>
      </c>
      <c r="O1025" s="291">
        <v>624.17999999999995</v>
      </c>
      <c r="P1025" s="291"/>
      <c r="Q1025" s="291"/>
      <c r="R1025" s="262">
        <v>152.86000000000001</v>
      </c>
      <c r="S1025" s="262">
        <v>777.04</v>
      </c>
      <c r="U1025" s="149">
        <f t="shared" si="92"/>
        <v>53288</v>
      </c>
      <c r="V1025" s="146">
        <f t="shared" si="93"/>
        <v>5.083333333333333</v>
      </c>
      <c r="W1025" s="150">
        <f t="shared" si="94"/>
        <v>27.916666666666668</v>
      </c>
      <c r="X1025" s="146">
        <f t="shared" si="96"/>
        <v>27.916666666666668</v>
      </c>
    </row>
    <row r="1026" spans="1:24" ht="9.75" customHeight="1" x14ac:dyDescent="0.25">
      <c r="A1026" s="288">
        <v>988</v>
      </c>
      <c r="B1026" s="288"/>
      <c r="D1026" s="258" t="s">
        <v>68</v>
      </c>
      <c r="E1026" s="289">
        <v>41274</v>
      </c>
      <c r="F1026" s="289"/>
      <c r="G1026" s="289"/>
      <c r="H1026" s="289"/>
      <c r="I1026" s="290" t="s">
        <v>205</v>
      </c>
      <c r="J1026" s="290"/>
      <c r="K1026" s="290"/>
      <c r="L1026" s="47">
        <v>33</v>
      </c>
      <c r="M1026" s="262">
        <v>8084.78</v>
      </c>
      <c r="N1026" s="47">
        <v>100</v>
      </c>
      <c r="O1026" s="291">
        <v>979.96</v>
      </c>
      <c r="P1026" s="291"/>
      <c r="Q1026" s="291"/>
      <c r="R1026" s="262">
        <v>244.99</v>
      </c>
      <c r="S1026" s="262">
        <v>1224.95</v>
      </c>
      <c r="U1026" s="149">
        <f t="shared" si="92"/>
        <v>53319</v>
      </c>
      <c r="V1026" s="146">
        <f t="shared" si="93"/>
        <v>5</v>
      </c>
      <c r="W1026" s="150">
        <f t="shared" si="94"/>
        <v>28</v>
      </c>
      <c r="X1026" s="146">
        <f t="shared" si="96"/>
        <v>28</v>
      </c>
    </row>
    <row r="1027" spans="1:24" ht="9.75" customHeight="1" x14ac:dyDescent="0.25">
      <c r="A1027" s="288">
        <v>990</v>
      </c>
      <c r="B1027" s="288"/>
      <c r="D1027" s="258" t="s">
        <v>68</v>
      </c>
      <c r="E1027" s="289">
        <v>41364</v>
      </c>
      <c r="F1027" s="289"/>
      <c r="G1027" s="289"/>
      <c r="H1027" s="289"/>
      <c r="I1027" s="290" t="s">
        <v>205</v>
      </c>
      <c r="J1027" s="290"/>
      <c r="K1027" s="290"/>
      <c r="L1027" s="47">
        <v>33</v>
      </c>
      <c r="M1027" s="262">
        <v>621</v>
      </c>
      <c r="N1027" s="47">
        <v>100</v>
      </c>
      <c r="O1027" s="291">
        <v>70.58</v>
      </c>
      <c r="P1027" s="291"/>
      <c r="Q1027" s="291"/>
      <c r="R1027" s="262">
        <v>18.82</v>
      </c>
      <c r="S1027" s="262">
        <v>89.4</v>
      </c>
      <c r="U1027" s="149">
        <f t="shared" si="92"/>
        <v>53409</v>
      </c>
      <c r="V1027" s="146">
        <f t="shared" si="93"/>
        <v>4.75</v>
      </c>
      <c r="W1027" s="150">
        <f t="shared" si="94"/>
        <v>28.25</v>
      </c>
      <c r="X1027" s="146">
        <f t="shared" si="96"/>
        <v>28.25</v>
      </c>
    </row>
    <row r="1028" spans="1:24" ht="9.75" customHeight="1" x14ac:dyDescent="0.25">
      <c r="A1028" s="288">
        <v>993</v>
      </c>
      <c r="B1028" s="288"/>
      <c r="D1028" s="258" t="s">
        <v>68</v>
      </c>
      <c r="E1028" s="289">
        <v>41394</v>
      </c>
      <c r="F1028" s="289"/>
      <c r="G1028" s="289"/>
      <c r="H1028" s="289"/>
      <c r="I1028" s="290" t="s">
        <v>205</v>
      </c>
      <c r="J1028" s="290"/>
      <c r="K1028" s="290"/>
      <c r="L1028" s="47">
        <v>33</v>
      </c>
      <c r="M1028" s="262">
        <v>3175</v>
      </c>
      <c r="N1028" s="47">
        <v>100</v>
      </c>
      <c r="O1028" s="291">
        <v>352.77</v>
      </c>
      <c r="P1028" s="291"/>
      <c r="Q1028" s="291"/>
      <c r="R1028" s="262">
        <v>96.210000000000008</v>
      </c>
      <c r="S1028" s="262">
        <v>448.98</v>
      </c>
      <c r="U1028" s="149">
        <f t="shared" ref="U1028:U1083" si="97">E1028+(L1028*365)</f>
        <v>53439</v>
      </c>
      <c r="V1028" s="146">
        <f t="shared" ref="V1028:V1083" si="98">YEARFRAC(E1028,$V$14)</f>
        <v>4.666666666666667</v>
      </c>
      <c r="W1028" s="150">
        <f t="shared" ref="W1028:W1083" si="99">IF(V1028&gt;L1028,0,L1028-V1028)</f>
        <v>28.333333333333332</v>
      </c>
      <c r="X1028" s="146">
        <f t="shared" si="96"/>
        <v>28.333333333333332</v>
      </c>
    </row>
    <row r="1029" spans="1:24" ht="9.75" customHeight="1" x14ac:dyDescent="0.25">
      <c r="A1029" s="288">
        <v>997</v>
      </c>
      <c r="B1029" s="288"/>
      <c r="D1029" s="258" t="s">
        <v>68</v>
      </c>
      <c r="E1029" s="289">
        <v>41425</v>
      </c>
      <c r="F1029" s="289"/>
      <c r="G1029" s="289"/>
      <c r="H1029" s="289"/>
      <c r="I1029" s="290" t="s">
        <v>205</v>
      </c>
      <c r="J1029" s="290"/>
      <c r="K1029" s="290"/>
      <c r="L1029" s="47">
        <v>33</v>
      </c>
      <c r="M1029" s="262">
        <v>4375.2</v>
      </c>
      <c r="N1029" s="47">
        <v>100</v>
      </c>
      <c r="O1029" s="291">
        <v>475.08</v>
      </c>
      <c r="P1029" s="291"/>
      <c r="Q1029" s="291"/>
      <c r="R1029" s="262">
        <v>132.58000000000001</v>
      </c>
      <c r="S1029" s="262">
        <v>607.66</v>
      </c>
      <c r="U1029" s="149">
        <f t="shared" si="97"/>
        <v>53470</v>
      </c>
      <c r="V1029" s="146">
        <f t="shared" si="98"/>
        <v>4.583333333333333</v>
      </c>
      <c r="W1029" s="150">
        <f t="shared" si="99"/>
        <v>28.416666666666668</v>
      </c>
      <c r="X1029" s="146">
        <f t="shared" si="96"/>
        <v>28.416666666666668</v>
      </c>
    </row>
    <row r="1030" spans="1:24" ht="9.75" customHeight="1" x14ac:dyDescent="0.25">
      <c r="A1030" s="288">
        <v>1003</v>
      </c>
      <c r="B1030" s="288"/>
      <c r="D1030" s="258" t="s">
        <v>68</v>
      </c>
      <c r="E1030" s="289">
        <v>41486</v>
      </c>
      <c r="F1030" s="289"/>
      <c r="G1030" s="289"/>
      <c r="H1030" s="289"/>
      <c r="I1030" s="290" t="s">
        <v>205</v>
      </c>
      <c r="J1030" s="290"/>
      <c r="K1030" s="290"/>
      <c r="L1030" s="47">
        <v>33</v>
      </c>
      <c r="M1030" s="262">
        <v>747</v>
      </c>
      <c r="N1030" s="47">
        <v>100</v>
      </c>
      <c r="O1030" s="291">
        <v>77.349999999999994</v>
      </c>
      <c r="P1030" s="291"/>
      <c r="Q1030" s="291"/>
      <c r="R1030" s="262">
        <v>22.64</v>
      </c>
      <c r="S1030" s="262">
        <v>99.990000000000009</v>
      </c>
      <c r="U1030" s="149">
        <f t="shared" si="97"/>
        <v>53531</v>
      </c>
      <c r="V1030" s="146">
        <f t="shared" si="98"/>
        <v>4.416666666666667</v>
      </c>
      <c r="W1030" s="150">
        <f t="shared" si="99"/>
        <v>28.583333333333332</v>
      </c>
      <c r="X1030" s="146">
        <f t="shared" ref="X1030:X1061" si="100">IF(W1030=0,0,W1030)</f>
        <v>28.583333333333332</v>
      </c>
    </row>
    <row r="1031" spans="1:24" ht="9.75" customHeight="1" x14ac:dyDescent="0.25">
      <c r="A1031" s="288">
        <v>1006</v>
      </c>
      <c r="B1031" s="288"/>
      <c r="D1031" s="258" t="s">
        <v>68</v>
      </c>
      <c r="E1031" s="289">
        <v>41517</v>
      </c>
      <c r="F1031" s="289"/>
      <c r="G1031" s="289"/>
      <c r="H1031" s="289"/>
      <c r="I1031" s="290" t="s">
        <v>205</v>
      </c>
      <c r="J1031" s="290"/>
      <c r="K1031" s="290"/>
      <c r="L1031" s="47">
        <v>33</v>
      </c>
      <c r="M1031" s="262">
        <v>49852.05</v>
      </c>
      <c r="N1031" s="47">
        <v>100</v>
      </c>
      <c r="O1031" s="291">
        <v>5035.57</v>
      </c>
      <c r="P1031" s="291"/>
      <c r="Q1031" s="291"/>
      <c r="R1031" s="262">
        <v>1510.67</v>
      </c>
      <c r="S1031" s="262">
        <v>6546.24</v>
      </c>
      <c r="U1031" s="149">
        <f t="shared" si="97"/>
        <v>53562</v>
      </c>
      <c r="V1031" s="146">
        <f t="shared" si="98"/>
        <v>4.333333333333333</v>
      </c>
      <c r="W1031" s="150">
        <f t="shared" si="99"/>
        <v>28.666666666666668</v>
      </c>
      <c r="X1031" s="146">
        <f t="shared" si="100"/>
        <v>28.666666666666668</v>
      </c>
    </row>
    <row r="1032" spans="1:24" ht="9.75" customHeight="1" x14ac:dyDescent="0.25">
      <c r="A1032" s="288">
        <v>1010</v>
      </c>
      <c r="B1032" s="288"/>
      <c r="D1032" s="258" t="s">
        <v>68</v>
      </c>
      <c r="E1032" s="289">
        <v>41547</v>
      </c>
      <c r="F1032" s="289"/>
      <c r="G1032" s="289"/>
      <c r="H1032" s="289"/>
      <c r="I1032" s="290" t="s">
        <v>205</v>
      </c>
      <c r="J1032" s="290"/>
      <c r="K1032" s="290"/>
      <c r="L1032" s="47">
        <v>33</v>
      </c>
      <c r="M1032" s="262">
        <v>3424.23</v>
      </c>
      <c r="N1032" s="47">
        <v>100</v>
      </c>
      <c r="O1032" s="291">
        <v>337.22</v>
      </c>
      <c r="P1032" s="291"/>
      <c r="Q1032" s="291"/>
      <c r="R1032" s="262">
        <v>103.76</v>
      </c>
      <c r="S1032" s="262">
        <v>440.98</v>
      </c>
      <c r="U1032" s="149">
        <f t="shared" si="97"/>
        <v>53592</v>
      </c>
      <c r="V1032" s="146">
        <f t="shared" si="98"/>
        <v>4.25</v>
      </c>
      <c r="W1032" s="150">
        <f t="shared" si="99"/>
        <v>28.75</v>
      </c>
      <c r="X1032" s="146">
        <f t="shared" si="100"/>
        <v>28.75</v>
      </c>
    </row>
    <row r="1033" spans="1:24" ht="9.75" customHeight="1" x14ac:dyDescent="0.25">
      <c r="A1033" s="288">
        <v>1015</v>
      </c>
      <c r="B1033" s="288"/>
      <c r="D1033" s="258" t="s">
        <v>68</v>
      </c>
      <c r="E1033" s="289">
        <v>41578</v>
      </c>
      <c r="F1033" s="289"/>
      <c r="G1033" s="289"/>
      <c r="H1033" s="289"/>
      <c r="I1033" s="290" t="s">
        <v>205</v>
      </c>
      <c r="J1033" s="290"/>
      <c r="K1033" s="290"/>
      <c r="L1033" s="47">
        <v>33</v>
      </c>
      <c r="M1033" s="262">
        <v>6130.9800000000005</v>
      </c>
      <c r="N1033" s="47">
        <v>100</v>
      </c>
      <c r="O1033" s="291">
        <v>588.34</v>
      </c>
      <c r="P1033" s="291"/>
      <c r="Q1033" s="291"/>
      <c r="R1033" s="262">
        <v>185.79</v>
      </c>
      <c r="S1033" s="262">
        <v>774.13</v>
      </c>
      <c r="U1033" s="149">
        <f t="shared" si="97"/>
        <v>53623</v>
      </c>
      <c r="V1033" s="146">
        <f t="shared" si="98"/>
        <v>4.166666666666667</v>
      </c>
      <c r="W1033" s="150">
        <f t="shared" si="99"/>
        <v>28.833333333333332</v>
      </c>
      <c r="X1033" s="146">
        <f t="shared" si="100"/>
        <v>28.833333333333332</v>
      </c>
    </row>
    <row r="1034" spans="1:24" ht="9.75" customHeight="1" x14ac:dyDescent="0.25">
      <c r="A1034" s="288">
        <v>1019</v>
      </c>
      <c r="B1034" s="288"/>
      <c r="D1034" s="258" t="s">
        <v>68</v>
      </c>
      <c r="E1034" s="289">
        <v>41608</v>
      </c>
      <c r="F1034" s="289"/>
      <c r="G1034" s="289"/>
      <c r="H1034" s="289"/>
      <c r="I1034" s="290" t="s">
        <v>205</v>
      </c>
      <c r="J1034" s="290"/>
      <c r="K1034" s="290"/>
      <c r="L1034" s="47">
        <v>33</v>
      </c>
      <c r="M1034" s="262">
        <v>964</v>
      </c>
      <c r="N1034" s="47">
        <v>100</v>
      </c>
      <c r="O1034" s="291">
        <v>90.06</v>
      </c>
      <c r="P1034" s="291"/>
      <c r="Q1034" s="291"/>
      <c r="R1034" s="262">
        <v>29.21</v>
      </c>
      <c r="S1034" s="262">
        <v>119.27</v>
      </c>
      <c r="U1034" s="149">
        <f t="shared" si="97"/>
        <v>53653</v>
      </c>
      <c r="V1034" s="146">
        <f t="shared" si="98"/>
        <v>4.083333333333333</v>
      </c>
      <c r="W1034" s="150">
        <f t="shared" si="99"/>
        <v>28.916666666666668</v>
      </c>
      <c r="X1034" s="146">
        <f t="shared" si="100"/>
        <v>28.916666666666668</v>
      </c>
    </row>
    <row r="1035" spans="1:24" ht="9.75" customHeight="1" x14ac:dyDescent="0.25">
      <c r="A1035" s="288">
        <v>1023</v>
      </c>
      <c r="B1035" s="288"/>
      <c r="D1035" s="258" t="s">
        <v>397</v>
      </c>
      <c r="E1035" s="289">
        <v>41639</v>
      </c>
      <c r="F1035" s="289"/>
      <c r="G1035" s="289"/>
      <c r="H1035" s="289"/>
      <c r="I1035" s="290" t="s">
        <v>205</v>
      </c>
      <c r="J1035" s="290"/>
      <c r="K1035" s="290"/>
      <c r="L1035" s="47">
        <v>33</v>
      </c>
      <c r="M1035" s="262">
        <v>7844.9400000000005</v>
      </c>
      <c r="N1035" s="47">
        <v>100</v>
      </c>
      <c r="O1035" s="291">
        <v>713.19</v>
      </c>
      <c r="P1035" s="291"/>
      <c r="Q1035" s="291"/>
      <c r="R1035" s="262">
        <v>237.73000000000002</v>
      </c>
      <c r="S1035" s="262">
        <v>950.92000000000007</v>
      </c>
      <c r="U1035" s="149">
        <f t="shared" si="97"/>
        <v>53684</v>
      </c>
      <c r="V1035" s="146">
        <f t="shared" si="98"/>
        <v>4</v>
      </c>
      <c r="W1035" s="150">
        <f t="shared" si="99"/>
        <v>29</v>
      </c>
      <c r="X1035" s="146">
        <f t="shared" si="100"/>
        <v>29</v>
      </c>
    </row>
    <row r="1036" spans="1:24" ht="9.75" customHeight="1" x14ac:dyDescent="0.25">
      <c r="A1036" s="288">
        <v>1035</v>
      </c>
      <c r="B1036" s="288"/>
      <c r="D1036" s="258" t="s">
        <v>68</v>
      </c>
      <c r="E1036" s="289">
        <v>41670</v>
      </c>
      <c r="F1036" s="289"/>
      <c r="G1036" s="289"/>
      <c r="H1036" s="289"/>
      <c r="I1036" s="290" t="s">
        <v>205</v>
      </c>
      <c r="J1036" s="290"/>
      <c r="K1036" s="290"/>
      <c r="L1036" s="47">
        <v>33</v>
      </c>
      <c r="M1036" s="262">
        <v>225</v>
      </c>
      <c r="N1036" s="47">
        <v>100</v>
      </c>
      <c r="O1036" s="291">
        <v>19.89</v>
      </c>
      <c r="P1036" s="291"/>
      <c r="Q1036" s="291"/>
      <c r="R1036" s="262">
        <v>6.82</v>
      </c>
      <c r="S1036" s="262">
        <v>26.71</v>
      </c>
      <c r="U1036" s="149">
        <f t="shared" si="97"/>
        <v>53715</v>
      </c>
      <c r="V1036" s="146">
        <f t="shared" si="98"/>
        <v>3.9166666666666665</v>
      </c>
      <c r="W1036" s="150">
        <f t="shared" si="99"/>
        <v>29.083333333333332</v>
      </c>
      <c r="X1036" s="146">
        <f t="shared" si="100"/>
        <v>29.083333333333332</v>
      </c>
    </row>
    <row r="1037" spans="1:24" ht="9.75" customHeight="1" x14ac:dyDescent="0.25">
      <c r="A1037" s="288">
        <v>1037</v>
      </c>
      <c r="B1037" s="288"/>
      <c r="D1037" s="258" t="s">
        <v>397</v>
      </c>
      <c r="E1037" s="289">
        <v>41698</v>
      </c>
      <c r="F1037" s="289"/>
      <c r="G1037" s="289"/>
      <c r="H1037" s="289"/>
      <c r="I1037" s="290" t="s">
        <v>205</v>
      </c>
      <c r="J1037" s="290"/>
      <c r="K1037" s="290"/>
      <c r="L1037" s="47">
        <v>33</v>
      </c>
      <c r="M1037" s="262">
        <v>5941.52</v>
      </c>
      <c r="N1037" s="47">
        <v>100</v>
      </c>
      <c r="O1037" s="291">
        <v>510.14</v>
      </c>
      <c r="P1037" s="291"/>
      <c r="Q1037" s="291"/>
      <c r="R1037" s="262">
        <v>180.05</v>
      </c>
      <c r="S1037" s="262">
        <v>690.19</v>
      </c>
      <c r="U1037" s="149">
        <f t="shared" si="97"/>
        <v>53743</v>
      </c>
      <c r="V1037" s="146">
        <f t="shared" si="98"/>
        <v>3.8361111111111112</v>
      </c>
      <c r="W1037" s="150">
        <f t="shared" si="99"/>
        <v>29.163888888888888</v>
      </c>
      <c r="X1037" s="146">
        <f t="shared" si="100"/>
        <v>29.163888888888888</v>
      </c>
    </row>
    <row r="1038" spans="1:24" ht="9.75" customHeight="1" x14ac:dyDescent="0.25">
      <c r="A1038" s="288">
        <v>1040</v>
      </c>
      <c r="B1038" s="288"/>
      <c r="D1038" s="258" t="s">
        <v>397</v>
      </c>
      <c r="E1038" s="289">
        <v>41729</v>
      </c>
      <c r="F1038" s="289"/>
      <c r="G1038" s="289"/>
      <c r="H1038" s="289"/>
      <c r="I1038" s="290" t="s">
        <v>205</v>
      </c>
      <c r="J1038" s="290"/>
      <c r="K1038" s="290"/>
      <c r="L1038" s="47">
        <v>33</v>
      </c>
      <c r="M1038" s="262">
        <v>306</v>
      </c>
      <c r="N1038" s="47">
        <v>100</v>
      </c>
      <c r="O1038" s="291">
        <v>25.490000000000002</v>
      </c>
      <c r="P1038" s="291"/>
      <c r="Q1038" s="291"/>
      <c r="R1038" s="262">
        <v>9.27</v>
      </c>
      <c r="S1038" s="262">
        <v>34.76</v>
      </c>
      <c r="U1038" s="149">
        <f t="shared" si="97"/>
        <v>53774</v>
      </c>
      <c r="V1038" s="146">
        <f t="shared" si="98"/>
        <v>3.75</v>
      </c>
      <c r="W1038" s="150">
        <f t="shared" si="99"/>
        <v>29.25</v>
      </c>
      <c r="X1038" s="146">
        <f t="shared" si="100"/>
        <v>29.25</v>
      </c>
    </row>
    <row r="1039" spans="1:24" ht="9.75" customHeight="1" x14ac:dyDescent="0.25">
      <c r="A1039" s="288">
        <v>1044</v>
      </c>
      <c r="B1039" s="288"/>
      <c r="D1039" s="258" t="s">
        <v>397</v>
      </c>
      <c r="E1039" s="289">
        <v>41759</v>
      </c>
      <c r="F1039" s="289"/>
      <c r="G1039" s="289"/>
      <c r="H1039" s="289"/>
      <c r="I1039" s="290" t="s">
        <v>205</v>
      </c>
      <c r="J1039" s="290"/>
      <c r="K1039" s="290"/>
      <c r="L1039" s="47">
        <v>33</v>
      </c>
      <c r="M1039" s="262">
        <v>657</v>
      </c>
      <c r="N1039" s="47">
        <v>100</v>
      </c>
      <c r="O1039" s="291">
        <v>53.09</v>
      </c>
      <c r="P1039" s="291"/>
      <c r="Q1039" s="291"/>
      <c r="R1039" s="262">
        <v>19.91</v>
      </c>
      <c r="S1039" s="262">
        <v>73</v>
      </c>
      <c r="U1039" s="149">
        <f t="shared" si="97"/>
        <v>53804</v>
      </c>
      <c r="V1039" s="146">
        <f t="shared" si="98"/>
        <v>3.6666666666666665</v>
      </c>
      <c r="W1039" s="150">
        <f t="shared" si="99"/>
        <v>29.333333333333332</v>
      </c>
      <c r="X1039" s="146">
        <f t="shared" si="100"/>
        <v>29.333333333333332</v>
      </c>
    </row>
    <row r="1040" spans="1:24" ht="9.75" customHeight="1" x14ac:dyDescent="0.25">
      <c r="A1040" s="288">
        <v>1045</v>
      </c>
      <c r="B1040" s="288"/>
      <c r="D1040" s="258" t="s">
        <v>397</v>
      </c>
      <c r="E1040" s="289">
        <v>41790</v>
      </c>
      <c r="F1040" s="289"/>
      <c r="G1040" s="289"/>
      <c r="H1040" s="289"/>
      <c r="I1040" s="290" t="s">
        <v>205</v>
      </c>
      <c r="J1040" s="290"/>
      <c r="K1040" s="290"/>
      <c r="L1040" s="47">
        <v>33</v>
      </c>
      <c r="M1040" s="262">
        <v>14666.220000000001</v>
      </c>
      <c r="N1040" s="47">
        <v>100</v>
      </c>
      <c r="O1040" s="291">
        <v>1148.1099999999999</v>
      </c>
      <c r="P1040" s="291"/>
      <c r="Q1040" s="291"/>
      <c r="R1040" s="262">
        <v>444.43</v>
      </c>
      <c r="S1040" s="262">
        <v>1592.54</v>
      </c>
      <c r="U1040" s="149">
        <f t="shared" si="97"/>
        <v>53835</v>
      </c>
      <c r="V1040" s="146">
        <f t="shared" si="98"/>
        <v>3.5833333333333335</v>
      </c>
      <c r="W1040" s="150">
        <f t="shared" si="99"/>
        <v>29.416666666666668</v>
      </c>
      <c r="X1040" s="146">
        <f t="shared" si="100"/>
        <v>29.416666666666668</v>
      </c>
    </row>
    <row r="1041" spans="1:24" ht="9.75" customHeight="1" x14ac:dyDescent="0.25">
      <c r="A1041" s="288">
        <v>1050</v>
      </c>
      <c r="B1041" s="288"/>
      <c r="D1041" s="258" t="s">
        <v>397</v>
      </c>
      <c r="E1041" s="289">
        <v>41820</v>
      </c>
      <c r="F1041" s="289"/>
      <c r="G1041" s="289"/>
      <c r="H1041" s="289"/>
      <c r="I1041" s="290" t="s">
        <v>205</v>
      </c>
      <c r="J1041" s="290"/>
      <c r="K1041" s="290"/>
      <c r="L1041" s="47">
        <v>33</v>
      </c>
      <c r="M1041" s="262">
        <v>3562</v>
      </c>
      <c r="N1041" s="47">
        <v>100</v>
      </c>
      <c r="O1041" s="291">
        <v>269.85000000000002</v>
      </c>
      <c r="P1041" s="291"/>
      <c r="Q1041" s="291"/>
      <c r="R1041" s="262">
        <v>107.94</v>
      </c>
      <c r="S1041" s="262">
        <v>377.79</v>
      </c>
      <c r="U1041" s="149">
        <f t="shared" si="97"/>
        <v>53865</v>
      </c>
      <c r="V1041" s="146">
        <f t="shared" si="98"/>
        <v>3.5</v>
      </c>
      <c r="W1041" s="150">
        <f t="shared" si="99"/>
        <v>29.5</v>
      </c>
      <c r="X1041" s="146">
        <f t="shared" si="100"/>
        <v>29.5</v>
      </c>
    </row>
    <row r="1042" spans="1:24" ht="9.75" customHeight="1" x14ac:dyDescent="0.25">
      <c r="A1042" s="288">
        <v>1054</v>
      </c>
      <c r="B1042" s="288"/>
      <c r="D1042" s="258" t="s">
        <v>397</v>
      </c>
      <c r="E1042" s="289">
        <v>41851</v>
      </c>
      <c r="F1042" s="289"/>
      <c r="G1042" s="289"/>
      <c r="H1042" s="289"/>
      <c r="I1042" s="290" t="s">
        <v>205</v>
      </c>
      <c r="J1042" s="290"/>
      <c r="K1042" s="290"/>
      <c r="L1042" s="47">
        <v>33</v>
      </c>
      <c r="M1042" s="262">
        <v>18711.740000000002</v>
      </c>
      <c r="N1042" s="47">
        <v>100</v>
      </c>
      <c r="O1042" s="291">
        <v>1370.3</v>
      </c>
      <c r="P1042" s="291"/>
      <c r="Q1042" s="291"/>
      <c r="R1042" s="262">
        <v>567.02</v>
      </c>
      <c r="S1042" s="262">
        <v>1937.32</v>
      </c>
      <c r="U1042" s="149">
        <f t="shared" si="97"/>
        <v>53896</v>
      </c>
      <c r="V1042" s="146">
        <f t="shared" si="98"/>
        <v>3.4166666666666665</v>
      </c>
      <c r="W1042" s="150">
        <f t="shared" si="99"/>
        <v>29.583333333333332</v>
      </c>
      <c r="X1042" s="146">
        <f t="shared" si="100"/>
        <v>29.583333333333332</v>
      </c>
    </row>
    <row r="1043" spans="1:24" ht="9.75" customHeight="1" x14ac:dyDescent="0.25">
      <c r="A1043" s="288">
        <v>1057</v>
      </c>
      <c r="B1043" s="288"/>
      <c r="D1043" s="258" t="s">
        <v>397</v>
      </c>
      <c r="E1043" s="289">
        <v>41882</v>
      </c>
      <c r="F1043" s="289"/>
      <c r="G1043" s="289"/>
      <c r="H1043" s="289"/>
      <c r="I1043" s="290" t="s">
        <v>205</v>
      </c>
      <c r="J1043" s="290"/>
      <c r="K1043" s="290"/>
      <c r="L1043" s="47">
        <v>33</v>
      </c>
      <c r="M1043" s="262">
        <v>3492.77</v>
      </c>
      <c r="N1043" s="47">
        <v>100</v>
      </c>
      <c r="O1043" s="291">
        <v>246.96</v>
      </c>
      <c r="P1043" s="291"/>
      <c r="Q1043" s="291"/>
      <c r="R1043" s="262">
        <v>105.84</v>
      </c>
      <c r="S1043" s="262">
        <v>352.8</v>
      </c>
      <c r="U1043" s="149">
        <f t="shared" si="97"/>
        <v>53927</v>
      </c>
      <c r="V1043" s="146">
        <f t="shared" si="98"/>
        <v>3.3333333333333335</v>
      </c>
      <c r="W1043" s="150">
        <f t="shared" si="99"/>
        <v>29.666666666666668</v>
      </c>
      <c r="X1043" s="146">
        <f t="shared" si="100"/>
        <v>29.666666666666668</v>
      </c>
    </row>
    <row r="1044" spans="1:24" ht="9.75" customHeight="1" x14ac:dyDescent="0.25">
      <c r="A1044" s="288">
        <v>1060</v>
      </c>
      <c r="B1044" s="288"/>
      <c r="D1044" s="258" t="s">
        <v>397</v>
      </c>
      <c r="E1044" s="289">
        <v>41912</v>
      </c>
      <c r="F1044" s="289"/>
      <c r="G1044" s="289"/>
      <c r="H1044" s="289"/>
      <c r="I1044" s="290" t="s">
        <v>205</v>
      </c>
      <c r="J1044" s="290"/>
      <c r="K1044" s="290"/>
      <c r="L1044" s="47">
        <v>33</v>
      </c>
      <c r="M1044" s="262">
        <v>11989.1</v>
      </c>
      <c r="N1044" s="47">
        <v>100</v>
      </c>
      <c r="O1044" s="291">
        <v>817.45</v>
      </c>
      <c r="P1044" s="291"/>
      <c r="Q1044" s="291"/>
      <c r="R1044" s="262">
        <v>363.31</v>
      </c>
      <c r="S1044" s="262">
        <v>1180.76</v>
      </c>
      <c r="U1044" s="149">
        <f t="shared" si="97"/>
        <v>53957</v>
      </c>
      <c r="V1044" s="146">
        <f t="shared" si="98"/>
        <v>3.25</v>
      </c>
      <c r="W1044" s="150">
        <f t="shared" si="99"/>
        <v>29.75</v>
      </c>
      <c r="X1044" s="146">
        <f t="shared" si="100"/>
        <v>29.75</v>
      </c>
    </row>
    <row r="1045" spans="1:24" ht="9.75" customHeight="1" x14ac:dyDescent="0.25">
      <c r="A1045" s="288">
        <v>1063</v>
      </c>
      <c r="B1045" s="288"/>
      <c r="D1045" s="258" t="s">
        <v>397</v>
      </c>
      <c r="E1045" s="289">
        <v>41943</v>
      </c>
      <c r="F1045" s="289"/>
      <c r="G1045" s="289"/>
      <c r="H1045" s="289"/>
      <c r="I1045" s="290" t="s">
        <v>205</v>
      </c>
      <c r="J1045" s="290"/>
      <c r="K1045" s="290"/>
      <c r="L1045" s="47">
        <v>33</v>
      </c>
      <c r="M1045" s="262">
        <v>10703</v>
      </c>
      <c r="N1045" s="47">
        <v>100</v>
      </c>
      <c r="O1045" s="291">
        <v>702.72</v>
      </c>
      <c r="P1045" s="291"/>
      <c r="Q1045" s="291"/>
      <c r="R1045" s="262">
        <v>324.33</v>
      </c>
      <c r="S1045" s="262">
        <v>1027.05</v>
      </c>
      <c r="U1045" s="149">
        <f t="shared" si="97"/>
        <v>53988</v>
      </c>
      <c r="V1045" s="146">
        <f t="shared" si="98"/>
        <v>3.1666666666666665</v>
      </c>
      <c r="W1045" s="150">
        <f t="shared" si="99"/>
        <v>29.833333333333332</v>
      </c>
      <c r="X1045" s="146">
        <f t="shared" si="100"/>
        <v>29.833333333333332</v>
      </c>
    </row>
    <row r="1046" spans="1:24" ht="9.75" customHeight="1" x14ac:dyDescent="0.25">
      <c r="A1046" s="288">
        <v>1066</v>
      </c>
      <c r="B1046" s="288"/>
      <c r="D1046" s="258" t="s">
        <v>397</v>
      </c>
      <c r="E1046" s="289">
        <v>41973</v>
      </c>
      <c r="F1046" s="289"/>
      <c r="G1046" s="289"/>
      <c r="H1046" s="289"/>
      <c r="I1046" s="290" t="s">
        <v>205</v>
      </c>
      <c r="J1046" s="290"/>
      <c r="K1046" s="290"/>
      <c r="L1046" s="47">
        <v>33</v>
      </c>
      <c r="M1046" s="262">
        <v>180</v>
      </c>
      <c r="N1046" s="47">
        <v>100</v>
      </c>
      <c r="O1046" s="291">
        <v>11.35</v>
      </c>
      <c r="P1046" s="291"/>
      <c r="Q1046" s="291"/>
      <c r="R1046" s="262">
        <v>5.45</v>
      </c>
      <c r="S1046" s="262">
        <v>16.8</v>
      </c>
      <c r="U1046" s="149">
        <f t="shared" si="97"/>
        <v>54018</v>
      </c>
      <c r="V1046" s="146">
        <f t="shared" si="98"/>
        <v>3.0833333333333335</v>
      </c>
      <c r="W1046" s="150">
        <f t="shared" si="99"/>
        <v>29.916666666666668</v>
      </c>
      <c r="X1046" s="146">
        <f t="shared" si="100"/>
        <v>29.916666666666668</v>
      </c>
    </row>
    <row r="1047" spans="1:24" ht="9.75" customHeight="1" x14ac:dyDescent="0.25">
      <c r="A1047" s="288">
        <v>1069</v>
      </c>
      <c r="B1047" s="288"/>
      <c r="D1047" s="258" t="s">
        <v>397</v>
      </c>
      <c r="E1047" s="289">
        <v>42004</v>
      </c>
      <c r="F1047" s="289"/>
      <c r="G1047" s="289"/>
      <c r="H1047" s="289"/>
      <c r="I1047" s="290" t="s">
        <v>205</v>
      </c>
      <c r="J1047" s="290"/>
      <c r="K1047" s="290"/>
      <c r="L1047" s="47">
        <v>33</v>
      </c>
      <c r="M1047" s="262">
        <v>4577.8999999999996</v>
      </c>
      <c r="N1047" s="47">
        <v>100</v>
      </c>
      <c r="O1047" s="291">
        <v>277.44</v>
      </c>
      <c r="P1047" s="291"/>
      <c r="Q1047" s="291"/>
      <c r="R1047" s="262">
        <v>138.72</v>
      </c>
      <c r="S1047" s="262">
        <v>416.16</v>
      </c>
      <c r="U1047" s="149">
        <f t="shared" si="97"/>
        <v>54049</v>
      </c>
      <c r="V1047" s="146">
        <f t="shared" si="98"/>
        <v>3</v>
      </c>
      <c r="W1047" s="150">
        <f t="shared" si="99"/>
        <v>30</v>
      </c>
      <c r="X1047" s="146">
        <f t="shared" si="100"/>
        <v>30</v>
      </c>
    </row>
    <row r="1048" spans="1:24" ht="9.75" customHeight="1" x14ac:dyDescent="0.25">
      <c r="A1048" s="288">
        <v>1072</v>
      </c>
      <c r="B1048" s="288"/>
      <c r="D1048" s="258" t="s">
        <v>397</v>
      </c>
      <c r="E1048" s="289">
        <v>42035</v>
      </c>
      <c r="F1048" s="289"/>
      <c r="G1048" s="289"/>
      <c r="H1048" s="289"/>
      <c r="I1048" s="290" t="s">
        <v>205</v>
      </c>
      <c r="J1048" s="290"/>
      <c r="K1048" s="290"/>
      <c r="L1048" s="47">
        <v>33</v>
      </c>
      <c r="M1048" s="262">
        <v>1788.27</v>
      </c>
      <c r="N1048" s="47">
        <v>100</v>
      </c>
      <c r="O1048" s="291">
        <v>103.86</v>
      </c>
      <c r="P1048" s="291"/>
      <c r="Q1048" s="291"/>
      <c r="R1048" s="262">
        <v>54.19</v>
      </c>
      <c r="S1048" s="262">
        <v>158.05000000000001</v>
      </c>
      <c r="U1048" s="149">
        <f t="shared" si="97"/>
        <v>54080</v>
      </c>
      <c r="V1048" s="146">
        <f t="shared" si="98"/>
        <v>2.9166666666666665</v>
      </c>
      <c r="W1048" s="150">
        <f t="shared" si="99"/>
        <v>30.083333333333332</v>
      </c>
      <c r="X1048" s="146">
        <f t="shared" si="100"/>
        <v>30.083333333333332</v>
      </c>
    </row>
    <row r="1049" spans="1:24" ht="9.75" customHeight="1" x14ac:dyDescent="0.25">
      <c r="A1049" s="288">
        <v>1077</v>
      </c>
      <c r="B1049" s="288"/>
      <c r="D1049" s="258" t="s">
        <v>397</v>
      </c>
      <c r="E1049" s="289">
        <v>42094</v>
      </c>
      <c r="F1049" s="289"/>
      <c r="G1049" s="289"/>
      <c r="H1049" s="289"/>
      <c r="I1049" s="290" t="s">
        <v>205</v>
      </c>
      <c r="J1049" s="290"/>
      <c r="K1049" s="290"/>
      <c r="L1049" s="47">
        <v>33</v>
      </c>
      <c r="M1049" s="262">
        <v>369</v>
      </c>
      <c r="N1049" s="47">
        <v>100</v>
      </c>
      <c r="O1049" s="291">
        <v>19.57</v>
      </c>
      <c r="P1049" s="291"/>
      <c r="Q1049" s="291"/>
      <c r="R1049" s="262">
        <v>11.18</v>
      </c>
      <c r="S1049" s="262">
        <v>30.75</v>
      </c>
      <c r="U1049" s="149">
        <f t="shared" si="97"/>
        <v>54139</v>
      </c>
      <c r="V1049" s="146">
        <f t="shared" si="98"/>
        <v>2.75</v>
      </c>
      <c r="W1049" s="150">
        <f t="shared" si="99"/>
        <v>30.25</v>
      </c>
      <c r="X1049" s="146">
        <f t="shared" si="100"/>
        <v>30.25</v>
      </c>
    </row>
    <row r="1050" spans="1:24" ht="9.75" customHeight="1" x14ac:dyDescent="0.25">
      <c r="A1050" s="288">
        <v>1080</v>
      </c>
      <c r="B1050" s="288"/>
      <c r="D1050" s="258" t="s">
        <v>401</v>
      </c>
      <c r="E1050" s="289">
        <v>42124</v>
      </c>
      <c r="F1050" s="289"/>
      <c r="G1050" s="289"/>
      <c r="H1050" s="289"/>
      <c r="I1050" s="290" t="s">
        <v>205</v>
      </c>
      <c r="J1050" s="290"/>
      <c r="K1050" s="290"/>
      <c r="L1050" s="47">
        <v>33</v>
      </c>
      <c r="M1050" s="262">
        <v>144</v>
      </c>
      <c r="N1050" s="47">
        <v>100</v>
      </c>
      <c r="O1050" s="291">
        <v>7.2700000000000005</v>
      </c>
      <c r="P1050" s="291"/>
      <c r="Q1050" s="291"/>
      <c r="R1050" s="262">
        <v>4.3600000000000003</v>
      </c>
      <c r="S1050" s="262">
        <v>11.63</v>
      </c>
      <c r="U1050" s="149">
        <f t="shared" si="97"/>
        <v>54169</v>
      </c>
      <c r="V1050" s="146">
        <f t="shared" si="98"/>
        <v>2.6666666666666665</v>
      </c>
      <c r="W1050" s="150">
        <f t="shared" si="99"/>
        <v>30.333333333333332</v>
      </c>
      <c r="X1050" s="146">
        <f t="shared" si="100"/>
        <v>30.333333333333332</v>
      </c>
    </row>
    <row r="1051" spans="1:24" ht="9.75" customHeight="1" x14ac:dyDescent="0.25">
      <c r="A1051" s="288">
        <v>1083</v>
      </c>
      <c r="B1051" s="288"/>
      <c r="D1051" s="258" t="s">
        <v>397</v>
      </c>
      <c r="E1051" s="289">
        <v>42155</v>
      </c>
      <c r="F1051" s="289"/>
      <c r="G1051" s="289"/>
      <c r="H1051" s="289"/>
      <c r="I1051" s="290" t="s">
        <v>205</v>
      </c>
      <c r="J1051" s="290"/>
      <c r="K1051" s="290"/>
      <c r="L1051" s="47">
        <v>33</v>
      </c>
      <c r="M1051" s="262">
        <v>933</v>
      </c>
      <c r="N1051" s="47">
        <v>100</v>
      </c>
      <c r="O1051" s="291">
        <v>44.76</v>
      </c>
      <c r="P1051" s="291"/>
      <c r="Q1051" s="291"/>
      <c r="R1051" s="262">
        <v>28.27</v>
      </c>
      <c r="S1051" s="262">
        <v>73.03</v>
      </c>
      <c r="U1051" s="149">
        <f t="shared" si="97"/>
        <v>54200</v>
      </c>
      <c r="V1051" s="146">
        <f t="shared" si="98"/>
        <v>2.5833333333333335</v>
      </c>
      <c r="W1051" s="150">
        <f t="shared" si="99"/>
        <v>30.416666666666668</v>
      </c>
      <c r="X1051" s="146">
        <f t="shared" si="100"/>
        <v>30.416666666666668</v>
      </c>
    </row>
    <row r="1052" spans="1:24" ht="9.75" customHeight="1" x14ac:dyDescent="0.25">
      <c r="A1052" s="288">
        <v>1086</v>
      </c>
      <c r="B1052" s="288"/>
      <c r="D1052" s="258" t="s">
        <v>397</v>
      </c>
      <c r="E1052" s="289">
        <v>42185</v>
      </c>
      <c r="F1052" s="289"/>
      <c r="G1052" s="289"/>
      <c r="H1052" s="289"/>
      <c r="I1052" s="290" t="s">
        <v>205</v>
      </c>
      <c r="J1052" s="290"/>
      <c r="K1052" s="290"/>
      <c r="L1052" s="47">
        <v>33</v>
      </c>
      <c r="M1052" s="262">
        <v>2947</v>
      </c>
      <c r="N1052" s="47">
        <v>100</v>
      </c>
      <c r="O1052" s="291">
        <v>133.94999999999999</v>
      </c>
      <c r="P1052" s="291"/>
      <c r="Q1052" s="291"/>
      <c r="R1052" s="262">
        <v>89.3</v>
      </c>
      <c r="S1052" s="262">
        <v>223.25</v>
      </c>
      <c r="U1052" s="149">
        <f t="shared" si="97"/>
        <v>54230</v>
      </c>
      <c r="V1052" s="146">
        <f t="shared" si="98"/>
        <v>2.5</v>
      </c>
      <c r="W1052" s="150">
        <f t="shared" si="99"/>
        <v>30.5</v>
      </c>
      <c r="X1052" s="146">
        <f t="shared" si="100"/>
        <v>30.5</v>
      </c>
    </row>
    <row r="1053" spans="1:24" ht="9.75" customHeight="1" x14ac:dyDescent="0.25">
      <c r="A1053" s="288">
        <v>1089</v>
      </c>
      <c r="B1053" s="288"/>
      <c r="D1053" s="258" t="s">
        <v>397</v>
      </c>
      <c r="E1053" s="289">
        <v>42216</v>
      </c>
      <c r="F1053" s="289"/>
      <c r="G1053" s="289"/>
      <c r="H1053" s="289"/>
      <c r="I1053" s="290" t="s">
        <v>205</v>
      </c>
      <c r="J1053" s="290"/>
      <c r="K1053" s="290"/>
      <c r="L1053" s="47">
        <v>33</v>
      </c>
      <c r="M1053" s="262">
        <v>468</v>
      </c>
      <c r="N1053" s="47">
        <v>100</v>
      </c>
      <c r="O1053" s="291">
        <v>20.09</v>
      </c>
      <c r="P1053" s="291"/>
      <c r="Q1053" s="291"/>
      <c r="R1053" s="262">
        <v>14.18</v>
      </c>
      <c r="S1053" s="262">
        <v>34.270000000000003</v>
      </c>
      <c r="U1053" s="149">
        <f t="shared" si="97"/>
        <v>54261</v>
      </c>
      <c r="V1053" s="146">
        <f t="shared" si="98"/>
        <v>2.4166666666666665</v>
      </c>
      <c r="W1053" s="150">
        <f t="shared" si="99"/>
        <v>30.583333333333332</v>
      </c>
      <c r="X1053" s="146">
        <f t="shared" si="100"/>
        <v>30.583333333333332</v>
      </c>
    </row>
    <row r="1054" spans="1:24" ht="9.75" customHeight="1" x14ac:dyDescent="0.25">
      <c r="A1054" s="288">
        <v>1092</v>
      </c>
      <c r="B1054" s="288"/>
      <c r="D1054" s="258" t="s">
        <v>397</v>
      </c>
      <c r="E1054" s="289">
        <v>42247</v>
      </c>
      <c r="F1054" s="289"/>
      <c r="G1054" s="289"/>
      <c r="H1054" s="289"/>
      <c r="I1054" s="290" t="s">
        <v>205</v>
      </c>
      <c r="J1054" s="290"/>
      <c r="K1054" s="290"/>
      <c r="L1054" s="47">
        <v>33</v>
      </c>
      <c r="M1054" s="262">
        <v>6159</v>
      </c>
      <c r="N1054" s="47">
        <v>100</v>
      </c>
      <c r="O1054" s="291">
        <v>248.85</v>
      </c>
      <c r="P1054" s="291"/>
      <c r="Q1054" s="291"/>
      <c r="R1054" s="262">
        <v>186.64000000000001</v>
      </c>
      <c r="S1054" s="262">
        <v>435.49</v>
      </c>
      <c r="U1054" s="149">
        <f t="shared" si="97"/>
        <v>54292</v>
      </c>
      <c r="V1054" s="146">
        <f t="shared" si="98"/>
        <v>2.3333333333333335</v>
      </c>
      <c r="W1054" s="150">
        <f t="shared" si="99"/>
        <v>30.666666666666668</v>
      </c>
      <c r="X1054" s="146">
        <f t="shared" si="100"/>
        <v>30.666666666666668</v>
      </c>
    </row>
    <row r="1055" spans="1:24" ht="9.75" customHeight="1" x14ac:dyDescent="0.25">
      <c r="A1055" s="288">
        <v>1095</v>
      </c>
      <c r="B1055" s="288"/>
      <c r="D1055" s="258" t="s">
        <v>397</v>
      </c>
      <c r="E1055" s="289">
        <v>42277</v>
      </c>
      <c r="F1055" s="289"/>
      <c r="G1055" s="289"/>
      <c r="H1055" s="289"/>
      <c r="I1055" s="290" t="s">
        <v>205</v>
      </c>
      <c r="J1055" s="290"/>
      <c r="K1055" s="290"/>
      <c r="L1055" s="47">
        <v>33</v>
      </c>
      <c r="M1055" s="262">
        <v>405</v>
      </c>
      <c r="N1055" s="47">
        <v>100</v>
      </c>
      <c r="O1055" s="291">
        <v>15.34</v>
      </c>
      <c r="P1055" s="291"/>
      <c r="Q1055" s="291"/>
      <c r="R1055" s="262">
        <v>12.27</v>
      </c>
      <c r="S1055" s="262">
        <v>27.61</v>
      </c>
      <c r="U1055" s="149">
        <f t="shared" si="97"/>
        <v>54322</v>
      </c>
      <c r="V1055" s="146">
        <f t="shared" si="98"/>
        <v>2.25</v>
      </c>
      <c r="W1055" s="150">
        <f t="shared" si="99"/>
        <v>30.75</v>
      </c>
      <c r="X1055" s="146">
        <f t="shared" si="100"/>
        <v>30.75</v>
      </c>
    </row>
    <row r="1056" spans="1:24" ht="9.75" customHeight="1" x14ac:dyDescent="0.25">
      <c r="A1056" s="288">
        <v>1098</v>
      </c>
      <c r="B1056" s="288"/>
      <c r="D1056" s="258" t="s">
        <v>397</v>
      </c>
      <c r="E1056" s="289">
        <v>42308</v>
      </c>
      <c r="F1056" s="289"/>
      <c r="G1056" s="289"/>
      <c r="H1056" s="289"/>
      <c r="I1056" s="290" t="s">
        <v>205</v>
      </c>
      <c r="J1056" s="290"/>
      <c r="K1056" s="290"/>
      <c r="L1056" s="47">
        <v>33</v>
      </c>
      <c r="M1056" s="262">
        <v>684</v>
      </c>
      <c r="N1056" s="47">
        <v>100</v>
      </c>
      <c r="O1056" s="291">
        <v>24.19</v>
      </c>
      <c r="P1056" s="291"/>
      <c r="Q1056" s="291"/>
      <c r="R1056" s="262">
        <v>20.73</v>
      </c>
      <c r="S1056" s="262">
        <v>44.92</v>
      </c>
      <c r="U1056" s="149">
        <f t="shared" si="97"/>
        <v>54353</v>
      </c>
      <c r="V1056" s="146">
        <f t="shared" si="98"/>
        <v>2.1666666666666665</v>
      </c>
      <c r="W1056" s="150">
        <f t="shared" si="99"/>
        <v>30.833333333333332</v>
      </c>
      <c r="X1056" s="146">
        <f t="shared" si="100"/>
        <v>30.833333333333332</v>
      </c>
    </row>
    <row r="1057" spans="1:24" ht="9.75" customHeight="1" x14ac:dyDescent="0.25">
      <c r="A1057" s="288">
        <v>1101</v>
      </c>
      <c r="B1057" s="288"/>
      <c r="D1057" s="258" t="s">
        <v>397</v>
      </c>
      <c r="E1057" s="289">
        <v>42338</v>
      </c>
      <c r="F1057" s="289"/>
      <c r="G1057" s="289"/>
      <c r="H1057" s="289"/>
      <c r="I1057" s="290" t="s">
        <v>205</v>
      </c>
      <c r="J1057" s="290"/>
      <c r="K1057" s="290"/>
      <c r="L1057" s="47">
        <v>33</v>
      </c>
      <c r="M1057" s="262">
        <v>2505</v>
      </c>
      <c r="N1057" s="47">
        <v>100</v>
      </c>
      <c r="O1057" s="291">
        <v>82.24</v>
      </c>
      <c r="P1057" s="291"/>
      <c r="Q1057" s="291"/>
      <c r="R1057" s="262">
        <v>75.91</v>
      </c>
      <c r="S1057" s="262">
        <v>158.15</v>
      </c>
      <c r="U1057" s="149">
        <f t="shared" si="97"/>
        <v>54383</v>
      </c>
      <c r="V1057" s="146">
        <f t="shared" si="98"/>
        <v>2.0833333333333335</v>
      </c>
      <c r="W1057" s="150">
        <f t="shared" si="99"/>
        <v>30.916666666666668</v>
      </c>
      <c r="X1057" s="146">
        <f t="shared" si="100"/>
        <v>30.916666666666668</v>
      </c>
    </row>
    <row r="1058" spans="1:24" ht="9.75" customHeight="1" x14ac:dyDescent="0.25">
      <c r="A1058" s="288">
        <v>1104</v>
      </c>
      <c r="B1058" s="288"/>
      <c r="D1058" s="258" t="s">
        <v>397</v>
      </c>
      <c r="E1058" s="289">
        <v>42369</v>
      </c>
      <c r="F1058" s="289"/>
      <c r="G1058" s="289"/>
      <c r="H1058" s="289"/>
      <c r="I1058" s="290" t="s">
        <v>205</v>
      </c>
      <c r="J1058" s="290"/>
      <c r="K1058" s="290"/>
      <c r="L1058" s="47">
        <v>33</v>
      </c>
      <c r="M1058" s="262">
        <v>7456.64</v>
      </c>
      <c r="N1058" s="47">
        <v>100</v>
      </c>
      <c r="O1058" s="291">
        <v>225.96</v>
      </c>
      <c r="P1058" s="291"/>
      <c r="Q1058" s="291"/>
      <c r="R1058" s="262">
        <v>225.96</v>
      </c>
      <c r="S1058" s="262">
        <v>451.92</v>
      </c>
      <c r="U1058" s="149">
        <f t="shared" si="97"/>
        <v>54414</v>
      </c>
      <c r="V1058" s="146">
        <f t="shared" si="98"/>
        <v>2</v>
      </c>
      <c r="W1058" s="150">
        <f t="shared" si="99"/>
        <v>31</v>
      </c>
      <c r="X1058" s="146">
        <f t="shared" si="100"/>
        <v>31</v>
      </c>
    </row>
    <row r="1059" spans="1:24" ht="9.75" customHeight="1" x14ac:dyDescent="0.25">
      <c r="A1059" s="288">
        <v>1106</v>
      </c>
      <c r="B1059" s="288"/>
      <c r="D1059" s="258" t="s">
        <v>397</v>
      </c>
      <c r="E1059" s="289">
        <v>42429</v>
      </c>
      <c r="F1059" s="289"/>
      <c r="G1059" s="289"/>
      <c r="H1059" s="289"/>
      <c r="I1059" s="290" t="s">
        <v>205</v>
      </c>
      <c r="J1059" s="290"/>
      <c r="K1059" s="290"/>
      <c r="L1059" s="47">
        <v>33</v>
      </c>
      <c r="M1059" s="262">
        <v>1830</v>
      </c>
      <c r="N1059" s="47">
        <v>100</v>
      </c>
      <c r="O1059" s="291">
        <v>46.21</v>
      </c>
      <c r="P1059" s="291"/>
      <c r="Q1059" s="291"/>
      <c r="R1059" s="262">
        <v>55.45</v>
      </c>
      <c r="S1059" s="262">
        <v>101.66</v>
      </c>
      <c r="U1059" s="149">
        <f t="shared" si="97"/>
        <v>54474</v>
      </c>
      <c r="V1059" s="146">
        <f t="shared" si="98"/>
        <v>1.836111111111111</v>
      </c>
      <c r="W1059" s="150">
        <f t="shared" si="99"/>
        <v>31.163888888888888</v>
      </c>
      <c r="X1059" s="146">
        <f t="shared" si="100"/>
        <v>31.163888888888888</v>
      </c>
    </row>
    <row r="1060" spans="1:24" ht="9.75" customHeight="1" x14ac:dyDescent="0.25">
      <c r="A1060" s="288">
        <v>1109</v>
      </c>
      <c r="B1060" s="288"/>
      <c r="D1060" s="258" t="s">
        <v>397</v>
      </c>
      <c r="E1060" s="289">
        <v>42460</v>
      </c>
      <c r="F1060" s="289"/>
      <c r="G1060" s="289"/>
      <c r="H1060" s="289"/>
      <c r="I1060" s="290" t="s">
        <v>205</v>
      </c>
      <c r="J1060" s="290"/>
      <c r="K1060" s="290"/>
      <c r="L1060" s="47">
        <v>33</v>
      </c>
      <c r="M1060" s="262">
        <v>450</v>
      </c>
      <c r="N1060" s="47">
        <v>100</v>
      </c>
      <c r="O1060" s="291">
        <v>10.23</v>
      </c>
      <c r="P1060" s="291"/>
      <c r="Q1060" s="291"/>
      <c r="R1060" s="262">
        <v>13.64</v>
      </c>
      <c r="S1060" s="262">
        <v>23.87</v>
      </c>
      <c r="U1060" s="149">
        <f t="shared" si="97"/>
        <v>54505</v>
      </c>
      <c r="V1060" s="146">
        <f t="shared" si="98"/>
        <v>1.75</v>
      </c>
      <c r="W1060" s="150">
        <f t="shared" si="99"/>
        <v>31.25</v>
      </c>
      <c r="X1060" s="146">
        <f t="shared" si="100"/>
        <v>31.25</v>
      </c>
    </row>
    <row r="1061" spans="1:24" ht="9.75" customHeight="1" x14ac:dyDescent="0.25">
      <c r="A1061" s="288">
        <v>1113</v>
      </c>
      <c r="B1061" s="288"/>
      <c r="D1061" s="258" t="s">
        <v>397</v>
      </c>
      <c r="E1061" s="289">
        <v>42490</v>
      </c>
      <c r="F1061" s="289"/>
      <c r="G1061" s="289"/>
      <c r="H1061" s="289"/>
      <c r="I1061" s="290" t="s">
        <v>205</v>
      </c>
      <c r="J1061" s="290"/>
      <c r="K1061" s="290"/>
      <c r="L1061" s="47">
        <v>33</v>
      </c>
      <c r="M1061" s="262">
        <v>126</v>
      </c>
      <c r="N1061" s="47">
        <v>100</v>
      </c>
      <c r="O1061" s="291">
        <v>2.5499999999999998</v>
      </c>
      <c r="P1061" s="291"/>
      <c r="Q1061" s="291"/>
      <c r="R1061" s="262">
        <v>3.8200000000000003</v>
      </c>
      <c r="S1061" s="262">
        <v>6.37</v>
      </c>
      <c r="U1061" s="149">
        <f t="shared" si="97"/>
        <v>54535</v>
      </c>
      <c r="V1061" s="146">
        <f t="shared" si="98"/>
        <v>1.6666666666666667</v>
      </c>
      <c r="W1061" s="150">
        <f t="shared" si="99"/>
        <v>31.333333333333332</v>
      </c>
      <c r="X1061" s="146">
        <f t="shared" si="100"/>
        <v>31.333333333333332</v>
      </c>
    </row>
    <row r="1062" spans="1:24" ht="9.75" customHeight="1" x14ac:dyDescent="0.25">
      <c r="A1062" s="288">
        <v>1116</v>
      </c>
      <c r="B1062" s="288"/>
      <c r="D1062" s="258" t="s">
        <v>397</v>
      </c>
      <c r="E1062" s="289">
        <v>42521</v>
      </c>
      <c r="F1062" s="289"/>
      <c r="G1062" s="289"/>
      <c r="H1062" s="289"/>
      <c r="I1062" s="290" t="s">
        <v>205</v>
      </c>
      <c r="J1062" s="290"/>
      <c r="K1062" s="290"/>
      <c r="L1062" s="47">
        <v>33</v>
      </c>
      <c r="M1062" s="262">
        <v>2322</v>
      </c>
      <c r="N1062" s="47">
        <v>100</v>
      </c>
      <c r="O1062" s="291">
        <v>41.04</v>
      </c>
      <c r="P1062" s="291"/>
      <c r="Q1062" s="291"/>
      <c r="R1062" s="262">
        <v>70.36</v>
      </c>
      <c r="S1062" s="262">
        <v>111.4</v>
      </c>
      <c r="U1062" s="149">
        <f t="shared" si="97"/>
        <v>54566</v>
      </c>
      <c r="V1062" s="146">
        <f t="shared" si="98"/>
        <v>1.5833333333333333</v>
      </c>
      <c r="W1062" s="150">
        <f t="shared" si="99"/>
        <v>31.416666666666668</v>
      </c>
      <c r="X1062" s="146">
        <f t="shared" ref="X1062:X1083" si="101">IF(W1062=0,0,W1062)</f>
        <v>31.416666666666668</v>
      </c>
    </row>
    <row r="1063" spans="1:24" ht="9.75" customHeight="1" x14ac:dyDescent="0.25">
      <c r="A1063" s="288">
        <v>1121</v>
      </c>
      <c r="B1063" s="288"/>
      <c r="D1063" s="258" t="s">
        <v>397</v>
      </c>
      <c r="E1063" s="289">
        <v>42551</v>
      </c>
      <c r="F1063" s="289"/>
      <c r="G1063" s="289"/>
      <c r="H1063" s="289"/>
      <c r="I1063" s="290" t="s">
        <v>205</v>
      </c>
      <c r="J1063" s="290"/>
      <c r="K1063" s="290"/>
      <c r="L1063" s="47">
        <v>33</v>
      </c>
      <c r="M1063" s="262">
        <v>4237.79</v>
      </c>
      <c r="N1063" s="47">
        <v>100</v>
      </c>
      <c r="O1063" s="291">
        <v>64.209999999999994</v>
      </c>
      <c r="P1063" s="291"/>
      <c r="Q1063" s="291"/>
      <c r="R1063" s="262">
        <v>128.41999999999999</v>
      </c>
      <c r="S1063" s="262">
        <v>192.63</v>
      </c>
      <c r="U1063" s="149">
        <f t="shared" si="97"/>
        <v>54596</v>
      </c>
      <c r="V1063" s="146">
        <f t="shared" si="98"/>
        <v>1.5</v>
      </c>
      <c r="W1063" s="150">
        <f t="shared" si="99"/>
        <v>31.5</v>
      </c>
      <c r="X1063" s="146">
        <f t="shared" si="101"/>
        <v>31.5</v>
      </c>
    </row>
    <row r="1064" spans="1:24" ht="9.75" customHeight="1" x14ac:dyDescent="0.25">
      <c r="A1064" s="288">
        <v>1124</v>
      </c>
      <c r="B1064" s="288"/>
      <c r="D1064" s="258" t="s">
        <v>397</v>
      </c>
      <c r="E1064" s="289">
        <v>42582</v>
      </c>
      <c r="F1064" s="289"/>
      <c r="G1064" s="289"/>
      <c r="H1064" s="289"/>
      <c r="I1064" s="290" t="s">
        <v>205</v>
      </c>
      <c r="J1064" s="290"/>
      <c r="K1064" s="290"/>
      <c r="L1064" s="47">
        <v>33</v>
      </c>
      <c r="M1064" s="262">
        <v>6005</v>
      </c>
      <c r="N1064" s="47">
        <v>100</v>
      </c>
      <c r="O1064" s="291">
        <v>75.819999999999993</v>
      </c>
      <c r="P1064" s="291"/>
      <c r="Q1064" s="291"/>
      <c r="R1064" s="262">
        <v>181.97</v>
      </c>
      <c r="S1064" s="262">
        <v>257.79000000000002</v>
      </c>
      <c r="U1064" s="149">
        <f t="shared" si="97"/>
        <v>54627</v>
      </c>
      <c r="V1064" s="146">
        <f t="shared" si="98"/>
        <v>1.4166666666666667</v>
      </c>
      <c r="W1064" s="150">
        <f t="shared" si="99"/>
        <v>31.583333333333332</v>
      </c>
      <c r="X1064" s="146">
        <f t="shared" si="101"/>
        <v>31.583333333333332</v>
      </c>
    </row>
    <row r="1065" spans="1:24" ht="9.75" customHeight="1" x14ac:dyDescent="0.25">
      <c r="A1065" s="288">
        <v>1128</v>
      </c>
      <c r="B1065" s="288"/>
      <c r="D1065" s="258" t="s">
        <v>397</v>
      </c>
      <c r="E1065" s="289">
        <v>42613</v>
      </c>
      <c r="F1065" s="289"/>
      <c r="G1065" s="289"/>
      <c r="H1065" s="289"/>
      <c r="I1065" s="290" t="s">
        <v>205</v>
      </c>
      <c r="J1065" s="290"/>
      <c r="K1065" s="290"/>
      <c r="L1065" s="47">
        <v>33</v>
      </c>
      <c r="M1065" s="262">
        <v>1480</v>
      </c>
      <c r="N1065" s="47">
        <v>100</v>
      </c>
      <c r="O1065" s="291">
        <v>14.950000000000001</v>
      </c>
      <c r="P1065" s="291"/>
      <c r="Q1065" s="291"/>
      <c r="R1065" s="262">
        <v>44.85</v>
      </c>
      <c r="S1065" s="262">
        <v>59.800000000000004</v>
      </c>
      <c r="U1065" s="149">
        <f t="shared" si="97"/>
        <v>54658</v>
      </c>
      <c r="V1065" s="146">
        <f t="shared" si="98"/>
        <v>1.3333333333333333</v>
      </c>
      <c r="W1065" s="150">
        <f t="shared" si="99"/>
        <v>31.666666666666668</v>
      </c>
      <c r="X1065" s="146">
        <f t="shared" si="101"/>
        <v>31.666666666666668</v>
      </c>
    </row>
    <row r="1066" spans="1:24" ht="9.75" customHeight="1" x14ac:dyDescent="0.25">
      <c r="A1066" s="288">
        <v>1131</v>
      </c>
      <c r="B1066" s="288"/>
      <c r="D1066" s="258" t="s">
        <v>397</v>
      </c>
      <c r="E1066" s="289">
        <v>42643</v>
      </c>
      <c r="F1066" s="289"/>
      <c r="G1066" s="289"/>
      <c r="H1066" s="289"/>
      <c r="I1066" s="290" t="s">
        <v>205</v>
      </c>
      <c r="J1066" s="290"/>
      <c r="K1066" s="290"/>
      <c r="L1066" s="47">
        <v>33</v>
      </c>
      <c r="M1066" s="262">
        <v>3654</v>
      </c>
      <c r="N1066" s="47">
        <v>100</v>
      </c>
      <c r="O1066" s="291">
        <v>27.68</v>
      </c>
      <c r="P1066" s="291"/>
      <c r="Q1066" s="291"/>
      <c r="R1066" s="262">
        <v>110.73</v>
      </c>
      <c r="S1066" s="262">
        <v>138.41</v>
      </c>
      <c r="U1066" s="149">
        <f t="shared" si="97"/>
        <v>54688</v>
      </c>
      <c r="V1066" s="146">
        <f t="shared" si="98"/>
        <v>1.25</v>
      </c>
      <c r="W1066" s="150">
        <f t="shared" si="99"/>
        <v>31.75</v>
      </c>
      <c r="X1066" s="146">
        <f t="shared" si="101"/>
        <v>31.75</v>
      </c>
    </row>
    <row r="1067" spans="1:24" ht="9.75" customHeight="1" x14ac:dyDescent="0.25">
      <c r="A1067" s="288">
        <v>1134</v>
      </c>
      <c r="B1067" s="288"/>
      <c r="D1067" s="258" t="s">
        <v>397</v>
      </c>
      <c r="E1067" s="289">
        <v>42674</v>
      </c>
      <c r="F1067" s="289"/>
      <c r="G1067" s="289"/>
      <c r="H1067" s="289"/>
      <c r="I1067" s="290" t="s">
        <v>205</v>
      </c>
      <c r="J1067" s="290"/>
      <c r="K1067" s="290"/>
      <c r="L1067" s="47">
        <v>33</v>
      </c>
      <c r="M1067" s="262">
        <v>3278.94</v>
      </c>
      <c r="N1067" s="47">
        <v>100</v>
      </c>
      <c r="O1067" s="291">
        <v>16.559999999999999</v>
      </c>
      <c r="P1067" s="291"/>
      <c r="Q1067" s="291"/>
      <c r="R1067" s="262">
        <v>99.36</v>
      </c>
      <c r="S1067" s="262">
        <v>115.92</v>
      </c>
      <c r="U1067" s="149">
        <f t="shared" si="97"/>
        <v>54719</v>
      </c>
      <c r="V1067" s="146">
        <f t="shared" si="98"/>
        <v>1.1666666666666667</v>
      </c>
      <c r="W1067" s="150">
        <f t="shared" si="99"/>
        <v>31.833333333333332</v>
      </c>
      <c r="X1067" s="146">
        <f t="shared" si="101"/>
        <v>31.833333333333332</v>
      </c>
    </row>
    <row r="1068" spans="1:24" ht="9.75" customHeight="1" x14ac:dyDescent="0.25">
      <c r="A1068" s="288">
        <v>1137</v>
      </c>
      <c r="B1068" s="288"/>
      <c r="D1068" s="258" t="s">
        <v>397</v>
      </c>
      <c r="E1068" s="289">
        <v>42704</v>
      </c>
      <c r="F1068" s="289"/>
      <c r="G1068" s="289"/>
      <c r="H1068" s="289"/>
      <c r="I1068" s="290" t="s">
        <v>205</v>
      </c>
      <c r="J1068" s="290"/>
      <c r="K1068" s="290"/>
      <c r="L1068" s="47">
        <v>33</v>
      </c>
      <c r="M1068" s="262">
        <v>5061</v>
      </c>
      <c r="N1068" s="47">
        <v>100</v>
      </c>
      <c r="O1068" s="291">
        <v>12.780000000000001</v>
      </c>
      <c r="P1068" s="291"/>
      <c r="Q1068" s="291"/>
      <c r="R1068" s="262">
        <v>153.36000000000001</v>
      </c>
      <c r="S1068" s="262">
        <v>166.14000000000001</v>
      </c>
      <c r="U1068" s="149">
        <f t="shared" si="97"/>
        <v>54749</v>
      </c>
      <c r="V1068" s="146">
        <f t="shared" si="98"/>
        <v>1.0833333333333333</v>
      </c>
      <c r="W1068" s="150">
        <f t="shared" si="99"/>
        <v>31.916666666666668</v>
      </c>
      <c r="X1068" s="146">
        <f t="shared" si="101"/>
        <v>31.916666666666668</v>
      </c>
    </row>
    <row r="1069" spans="1:24" ht="9.75" customHeight="1" x14ac:dyDescent="0.25">
      <c r="A1069" s="288">
        <v>1140</v>
      </c>
      <c r="B1069" s="288"/>
      <c r="D1069" s="258" t="s">
        <v>397</v>
      </c>
      <c r="E1069" s="289">
        <v>42735</v>
      </c>
      <c r="F1069" s="289"/>
      <c r="G1069" s="289"/>
      <c r="H1069" s="289"/>
      <c r="I1069" s="290" t="s">
        <v>205</v>
      </c>
      <c r="J1069" s="290"/>
      <c r="K1069" s="290"/>
      <c r="L1069" s="47">
        <v>33</v>
      </c>
      <c r="M1069" s="262">
        <v>18923.28</v>
      </c>
      <c r="N1069" s="47">
        <v>100</v>
      </c>
      <c r="O1069" s="291">
        <v>0</v>
      </c>
      <c r="P1069" s="291"/>
      <c r="Q1069" s="291"/>
      <c r="R1069" s="262">
        <v>573.42999999999995</v>
      </c>
      <c r="S1069" s="262">
        <v>573.42999999999995</v>
      </c>
      <c r="U1069" s="149">
        <f t="shared" si="97"/>
        <v>54780</v>
      </c>
      <c r="V1069" s="146">
        <f t="shared" si="98"/>
        <v>1</v>
      </c>
      <c r="W1069" s="150">
        <f t="shared" si="99"/>
        <v>32</v>
      </c>
      <c r="X1069" s="146">
        <f t="shared" si="101"/>
        <v>32</v>
      </c>
    </row>
    <row r="1070" spans="1:24" ht="9.75" customHeight="1" x14ac:dyDescent="0.25">
      <c r="A1070" s="288">
        <v>1142</v>
      </c>
      <c r="B1070" s="288"/>
      <c r="D1070" s="258" t="s">
        <v>397</v>
      </c>
      <c r="E1070" s="289">
        <v>42400</v>
      </c>
      <c r="F1070" s="289"/>
      <c r="G1070" s="289"/>
      <c r="H1070" s="289"/>
      <c r="I1070" s="290" t="s">
        <v>205</v>
      </c>
      <c r="J1070" s="290"/>
      <c r="K1070" s="290"/>
      <c r="L1070" s="47">
        <v>33</v>
      </c>
      <c r="M1070" s="262">
        <v>10147</v>
      </c>
      <c r="N1070" s="47">
        <v>100</v>
      </c>
      <c r="O1070" s="291">
        <v>281.86</v>
      </c>
      <c r="P1070" s="291"/>
      <c r="Q1070" s="291"/>
      <c r="R1070" s="262">
        <v>307.48</v>
      </c>
      <c r="S1070" s="262">
        <v>589.34</v>
      </c>
      <c r="U1070" s="149">
        <f t="shared" si="97"/>
        <v>54445</v>
      </c>
      <c r="V1070" s="146">
        <f t="shared" si="98"/>
        <v>1.9166666666666667</v>
      </c>
      <c r="W1070" s="150">
        <f t="shared" si="99"/>
        <v>31.083333333333332</v>
      </c>
      <c r="X1070" s="146">
        <f t="shared" si="101"/>
        <v>31.083333333333332</v>
      </c>
    </row>
    <row r="1071" spans="1:24" ht="9.75" customHeight="1" x14ac:dyDescent="0.25">
      <c r="A1071" s="288">
        <v>1144</v>
      </c>
      <c r="B1071" s="288"/>
      <c r="D1071" s="258" t="s">
        <v>397</v>
      </c>
      <c r="E1071" s="289">
        <v>42766</v>
      </c>
      <c r="F1071" s="289"/>
      <c r="G1071" s="289"/>
      <c r="H1071" s="289"/>
      <c r="I1071" s="290" t="s">
        <v>205</v>
      </c>
      <c r="J1071" s="290"/>
      <c r="K1071" s="290"/>
      <c r="L1071" s="47">
        <v>33</v>
      </c>
      <c r="M1071" s="262">
        <v>603</v>
      </c>
      <c r="N1071" s="47">
        <v>100</v>
      </c>
      <c r="O1071" s="291">
        <v>0</v>
      </c>
      <c r="P1071" s="291"/>
      <c r="Q1071" s="291"/>
      <c r="R1071" s="262">
        <v>16.75</v>
      </c>
      <c r="S1071" s="262">
        <v>16.75</v>
      </c>
      <c r="U1071" s="149">
        <f t="shared" si="97"/>
        <v>54811</v>
      </c>
      <c r="V1071" s="146">
        <f t="shared" si="98"/>
        <v>0.91666666666666663</v>
      </c>
      <c r="W1071" s="150">
        <f t="shared" si="99"/>
        <v>32.083333333333336</v>
      </c>
      <c r="X1071" s="146">
        <f t="shared" si="101"/>
        <v>32.083333333333336</v>
      </c>
    </row>
    <row r="1072" spans="1:24" ht="9.75" customHeight="1" x14ac:dyDescent="0.25">
      <c r="A1072" s="288">
        <v>1147</v>
      </c>
      <c r="B1072" s="288"/>
      <c r="D1072" s="258" t="s">
        <v>397</v>
      </c>
      <c r="E1072" s="289">
        <v>42794</v>
      </c>
      <c r="F1072" s="289"/>
      <c r="G1072" s="289"/>
      <c r="H1072" s="289"/>
      <c r="I1072" s="290" t="s">
        <v>205</v>
      </c>
      <c r="J1072" s="290"/>
      <c r="K1072" s="290"/>
      <c r="L1072" s="47">
        <v>33</v>
      </c>
      <c r="M1072" s="262">
        <v>2771.69</v>
      </c>
      <c r="N1072" s="47">
        <v>100</v>
      </c>
      <c r="O1072" s="291">
        <v>0</v>
      </c>
      <c r="P1072" s="291"/>
      <c r="Q1072" s="291"/>
      <c r="R1072" s="262">
        <v>69.989999999999995</v>
      </c>
      <c r="S1072" s="262">
        <v>69.989999999999995</v>
      </c>
      <c r="U1072" s="149">
        <f t="shared" si="97"/>
        <v>54839</v>
      </c>
      <c r="V1072" s="146">
        <f t="shared" si="98"/>
        <v>0.83611111111111114</v>
      </c>
      <c r="W1072" s="150">
        <f t="shared" si="99"/>
        <v>32.163888888888891</v>
      </c>
      <c r="X1072" s="146">
        <f t="shared" si="101"/>
        <v>32.163888888888891</v>
      </c>
    </row>
    <row r="1073" spans="1:24" ht="9.75" customHeight="1" x14ac:dyDescent="0.25">
      <c r="A1073" s="288">
        <v>1150</v>
      </c>
      <c r="B1073" s="288"/>
      <c r="D1073" s="258" t="s">
        <v>397</v>
      </c>
      <c r="E1073" s="289">
        <v>42825</v>
      </c>
      <c r="F1073" s="289"/>
      <c r="G1073" s="289"/>
      <c r="H1073" s="289"/>
      <c r="I1073" s="290" t="s">
        <v>205</v>
      </c>
      <c r="J1073" s="290"/>
      <c r="K1073" s="290"/>
      <c r="L1073" s="47">
        <v>33</v>
      </c>
      <c r="M1073" s="262">
        <v>486</v>
      </c>
      <c r="N1073" s="47">
        <v>100</v>
      </c>
      <c r="O1073" s="291">
        <v>0</v>
      </c>
      <c r="P1073" s="291"/>
      <c r="Q1073" s="291"/>
      <c r="R1073" s="262">
        <v>11.05</v>
      </c>
      <c r="S1073" s="262">
        <v>11.05</v>
      </c>
      <c r="U1073" s="149">
        <f t="shared" si="97"/>
        <v>54870</v>
      </c>
      <c r="V1073" s="146">
        <f t="shared" si="98"/>
        <v>0.75</v>
      </c>
      <c r="W1073" s="150">
        <f t="shared" si="99"/>
        <v>32.25</v>
      </c>
      <c r="X1073" s="146">
        <f t="shared" si="101"/>
        <v>32.25</v>
      </c>
    </row>
    <row r="1074" spans="1:24" ht="9.75" customHeight="1" x14ac:dyDescent="0.25">
      <c r="A1074" s="288">
        <v>1154</v>
      </c>
      <c r="B1074" s="288"/>
      <c r="D1074" s="258" t="s">
        <v>397</v>
      </c>
      <c r="E1074" s="289">
        <v>42855</v>
      </c>
      <c r="F1074" s="289"/>
      <c r="G1074" s="289"/>
      <c r="H1074" s="289"/>
      <c r="I1074" s="290" t="s">
        <v>205</v>
      </c>
      <c r="J1074" s="290"/>
      <c r="K1074" s="290"/>
      <c r="L1074" s="47">
        <v>33</v>
      </c>
      <c r="M1074" s="262">
        <v>378</v>
      </c>
      <c r="N1074" s="47">
        <v>100</v>
      </c>
      <c r="O1074" s="291">
        <v>0</v>
      </c>
      <c r="P1074" s="291"/>
      <c r="Q1074" s="291"/>
      <c r="R1074" s="262">
        <v>7.63</v>
      </c>
      <c r="S1074" s="262">
        <v>7.63</v>
      </c>
      <c r="U1074" s="149">
        <f t="shared" si="97"/>
        <v>54900</v>
      </c>
      <c r="V1074" s="146">
        <f t="shared" si="98"/>
        <v>0.66666666666666663</v>
      </c>
      <c r="W1074" s="150">
        <f t="shared" si="99"/>
        <v>32.333333333333336</v>
      </c>
      <c r="X1074" s="146">
        <f t="shared" si="101"/>
        <v>32.333333333333336</v>
      </c>
    </row>
    <row r="1075" spans="1:24" ht="9.75" customHeight="1" x14ac:dyDescent="0.25">
      <c r="A1075" s="288">
        <v>1157</v>
      </c>
      <c r="B1075" s="288"/>
      <c r="D1075" s="258" t="s">
        <v>397</v>
      </c>
      <c r="E1075" s="289">
        <v>42886</v>
      </c>
      <c r="F1075" s="289"/>
      <c r="G1075" s="289"/>
      <c r="H1075" s="289"/>
      <c r="I1075" s="290" t="s">
        <v>205</v>
      </c>
      <c r="J1075" s="290"/>
      <c r="K1075" s="290"/>
      <c r="L1075" s="47">
        <v>33</v>
      </c>
      <c r="M1075" s="262">
        <v>3201</v>
      </c>
      <c r="N1075" s="47">
        <v>100</v>
      </c>
      <c r="O1075" s="291">
        <v>0</v>
      </c>
      <c r="P1075" s="291"/>
      <c r="Q1075" s="291"/>
      <c r="R1075" s="262">
        <v>56.58</v>
      </c>
      <c r="S1075" s="262">
        <v>56.58</v>
      </c>
      <c r="U1075" s="149">
        <f t="shared" si="97"/>
        <v>54931</v>
      </c>
      <c r="V1075" s="146">
        <f t="shared" si="98"/>
        <v>0.58333333333333337</v>
      </c>
      <c r="W1075" s="150">
        <f t="shared" si="99"/>
        <v>32.416666666666664</v>
      </c>
      <c r="X1075" s="146">
        <f t="shared" si="101"/>
        <v>32.416666666666664</v>
      </c>
    </row>
    <row r="1076" spans="1:24" ht="9.75" customHeight="1" x14ac:dyDescent="0.25">
      <c r="A1076" s="288">
        <v>1160</v>
      </c>
      <c r="B1076" s="288"/>
      <c r="D1076" s="258" t="s">
        <v>397</v>
      </c>
      <c r="E1076" s="289">
        <v>42916</v>
      </c>
      <c r="F1076" s="289"/>
      <c r="G1076" s="289"/>
      <c r="H1076" s="289"/>
      <c r="I1076" s="290" t="s">
        <v>205</v>
      </c>
      <c r="J1076" s="290"/>
      <c r="K1076" s="290"/>
      <c r="L1076" s="47">
        <v>33</v>
      </c>
      <c r="M1076" s="262">
        <v>8557</v>
      </c>
      <c r="N1076" s="47">
        <v>100</v>
      </c>
      <c r="O1076" s="291">
        <v>0</v>
      </c>
      <c r="P1076" s="291"/>
      <c r="Q1076" s="291"/>
      <c r="R1076" s="262">
        <v>129.65</v>
      </c>
      <c r="S1076" s="262">
        <v>129.65</v>
      </c>
      <c r="U1076" s="149">
        <f t="shared" si="97"/>
        <v>54961</v>
      </c>
      <c r="V1076" s="146">
        <f t="shared" si="98"/>
        <v>0.5</v>
      </c>
      <c r="W1076" s="150">
        <f t="shared" si="99"/>
        <v>32.5</v>
      </c>
      <c r="X1076" s="146">
        <f t="shared" si="101"/>
        <v>32.5</v>
      </c>
    </row>
    <row r="1077" spans="1:24" ht="9.75" customHeight="1" x14ac:dyDescent="0.25">
      <c r="A1077" s="288">
        <v>1163</v>
      </c>
      <c r="B1077" s="288"/>
      <c r="D1077" s="258" t="s">
        <v>397</v>
      </c>
      <c r="E1077" s="289">
        <v>42947</v>
      </c>
      <c r="F1077" s="289"/>
      <c r="G1077" s="289"/>
      <c r="H1077" s="289"/>
      <c r="I1077" s="290" t="s">
        <v>205</v>
      </c>
      <c r="J1077" s="290"/>
      <c r="K1077" s="290"/>
      <c r="L1077" s="47">
        <v>33</v>
      </c>
      <c r="M1077" s="262">
        <v>405</v>
      </c>
      <c r="N1077" s="47">
        <v>100</v>
      </c>
      <c r="O1077" s="291">
        <v>0</v>
      </c>
      <c r="P1077" s="291"/>
      <c r="Q1077" s="291"/>
      <c r="R1077" s="262">
        <v>5.1100000000000003</v>
      </c>
      <c r="S1077" s="262">
        <v>5.1100000000000003</v>
      </c>
      <c r="U1077" s="149">
        <f t="shared" si="97"/>
        <v>54992</v>
      </c>
      <c r="V1077" s="146">
        <f t="shared" si="98"/>
        <v>0.41666666666666669</v>
      </c>
      <c r="W1077" s="150">
        <f t="shared" si="99"/>
        <v>32.583333333333336</v>
      </c>
      <c r="X1077" s="146">
        <f t="shared" si="101"/>
        <v>32.583333333333336</v>
      </c>
    </row>
    <row r="1078" spans="1:24" ht="9.75" customHeight="1" x14ac:dyDescent="0.25">
      <c r="A1078" s="288">
        <v>1166</v>
      </c>
      <c r="B1078" s="288"/>
      <c r="D1078" s="258" t="s">
        <v>397</v>
      </c>
      <c r="E1078" s="289">
        <v>42978</v>
      </c>
      <c r="F1078" s="289"/>
      <c r="G1078" s="289"/>
      <c r="H1078" s="289"/>
      <c r="I1078" s="290" t="s">
        <v>205</v>
      </c>
      <c r="J1078" s="290"/>
      <c r="K1078" s="290"/>
      <c r="L1078" s="47">
        <v>33</v>
      </c>
      <c r="M1078" s="262">
        <v>2961.52</v>
      </c>
      <c r="N1078" s="47">
        <v>100</v>
      </c>
      <c r="O1078" s="291">
        <v>0</v>
      </c>
      <c r="P1078" s="291"/>
      <c r="Q1078" s="291"/>
      <c r="R1078" s="262">
        <v>29.91</v>
      </c>
      <c r="S1078" s="262">
        <v>29.91</v>
      </c>
      <c r="U1078" s="149">
        <f t="shared" si="97"/>
        <v>55023</v>
      </c>
      <c r="V1078" s="146">
        <f t="shared" si="98"/>
        <v>0.33333333333333331</v>
      </c>
      <c r="W1078" s="150">
        <f t="shared" si="99"/>
        <v>32.666666666666664</v>
      </c>
      <c r="X1078" s="146">
        <f t="shared" si="101"/>
        <v>32.666666666666664</v>
      </c>
    </row>
    <row r="1079" spans="1:24" ht="9.75" customHeight="1" x14ac:dyDescent="0.25">
      <c r="A1079" s="288">
        <v>1170</v>
      </c>
      <c r="B1079" s="288"/>
      <c r="D1079" s="258" t="s">
        <v>397</v>
      </c>
      <c r="E1079" s="289">
        <v>43008</v>
      </c>
      <c r="F1079" s="289"/>
      <c r="G1079" s="289"/>
      <c r="H1079" s="289"/>
      <c r="I1079" s="290" t="s">
        <v>205</v>
      </c>
      <c r="J1079" s="290"/>
      <c r="K1079" s="290"/>
      <c r="L1079" s="47">
        <v>33</v>
      </c>
      <c r="M1079" s="262">
        <v>9248</v>
      </c>
      <c r="N1079" s="47">
        <v>100</v>
      </c>
      <c r="O1079" s="291">
        <v>0</v>
      </c>
      <c r="P1079" s="291"/>
      <c r="Q1079" s="291"/>
      <c r="R1079" s="262">
        <v>70.06</v>
      </c>
      <c r="S1079" s="262">
        <v>70.06</v>
      </c>
      <c r="U1079" s="149">
        <f t="shared" si="97"/>
        <v>55053</v>
      </c>
      <c r="V1079" s="146">
        <f t="shared" si="98"/>
        <v>0.25</v>
      </c>
      <c r="W1079" s="150">
        <f t="shared" si="99"/>
        <v>32.75</v>
      </c>
      <c r="X1079" s="146">
        <f t="shared" si="101"/>
        <v>32.75</v>
      </c>
    </row>
    <row r="1080" spans="1:24" ht="9.75" customHeight="1" x14ac:dyDescent="0.25">
      <c r="A1080" s="288">
        <v>1173</v>
      </c>
      <c r="B1080" s="288"/>
      <c r="D1080" s="258" t="s">
        <v>397</v>
      </c>
      <c r="E1080" s="289">
        <v>43039</v>
      </c>
      <c r="F1080" s="289"/>
      <c r="G1080" s="289"/>
      <c r="H1080" s="289"/>
      <c r="I1080" s="290" t="s">
        <v>205</v>
      </c>
      <c r="J1080" s="290"/>
      <c r="K1080" s="290"/>
      <c r="L1080" s="47">
        <v>33</v>
      </c>
      <c r="M1080" s="262">
        <v>3693.66</v>
      </c>
      <c r="N1080" s="47">
        <v>100</v>
      </c>
      <c r="O1080" s="291">
        <v>0</v>
      </c>
      <c r="P1080" s="291"/>
      <c r="Q1080" s="291"/>
      <c r="R1080" s="262">
        <v>18.66</v>
      </c>
      <c r="S1080" s="262">
        <v>18.66</v>
      </c>
      <c r="U1080" s="149">
        <f t="shared" si="97"/>
        <v>55084</v>
      </c>
      <c r="V1080" s="146">
        <f t="shared" si="98"/>
        <v>0.16666666666666666</v>
      </c>
      <c r="W1080" s="150">
        <f t="shared" si="99"/>
        <v>32.833333333333336</v>
      </c>
      <c r="X1080" s="146">
        <f t="shared" si="101"/>
        <v>32.833333333333336</v>
      </c>
    </row>
    <row r="1081" spans="1:24" ht="9.75" customHeight="1" x14ac:dyDescent="0.25">
      <c r="A1081" s="288">
        <v>1176</v>
      </c>
      <c r="B1081" s="288"/>
      <c r="D1081" s="258" t="s">
        <v>68</v>
      </c>
      <c r="E1081" s="289">
        <v>43069</v>
      </c>
      <c r="F1081" s="289"/>
      <c r="G1081" s="289"/>
      <c r="H1081" s="289"/>
      <c r="I1081" s="290" t="s">
        <v>205</v>
      </c>
      <c r="J1081" s="290"/>
      <c r="K1081" s="290"/>
      <c r="L1081" s="47">
        <v>33</v>
      </c>
      <c r="M1081" s="262">
        <v>10698.710000000001</v>
      </c>
      <c r="N1081" s="47">
        <v>100</v>
      </c>
      <c r="O1081" s="291">
        <v>0</v>
      </c>
      <c r="P1081" s="291"/>
      <c r="Q1081" s="291"/>
      <c r="R1081" s="262">
        <v>27.02</v>
      </c>
      <c r="S1081" s="262">
        <v>27.02</v>
      </c>
      <c r="U1081" s="149">
        <f t="shared" si="97"/>
        <v>55114</v>
      </c>
      <c r="V1081" s="146">
        <f t="shared" si="98"/>
        <v>8.3333333333333329E-2</v>
      </c>
      <c r="W1081" s="150">
        <f t="shared" si="99"/>
        <v>32.916666666666664</v>
      </c>
      <c r="X1081" s="146">
        <f t="shared" si="101"/>
        <v>32.916666666666664</v>
      </c>
    </row>
    <row r="1082" spans="1:24" ht="9.75" customHeight="1" x14ac:dyDescent="0.25">
      <c r="A1082" s="288">
        <v>1179</v>
      </c>
      <c r="B1082" s="288"/>
      <c r="D1082" s="258" t="s">
        <v>68</v>
      </c>
      <c r="E1082" s="289">
        <v>43100</v>
      </c>
      <c r="F1082" s="289"/>
      <c r="G1082" s="289"/>
      <c r="H1082" s="289"/>
      <c r="I1082" s="290" t="s">
        <v>205</v>
      </c>
      <c r="J1082" s="290"/>
      <c r="K1082" s="290"/>
      <c r="L1082" s="47">
        <v>33</v>
      </c>
      <c r="M1082" s="262">
        <v>23047.39</v>
      </c>
      <c r="N1082" s="47">
        <v>100</v>
      </c>
      <c r="O1082" s="291">
        <v>0</v>
      </c>
      <c r="P1082" s="291"/>
      <c r="Q1082" s="291"/>
      <c r="R1082" s="262">
        <v>0</v>
      </c>
      <c r="S1082" s="262">
        <v>0</v>
      </c>
      <c r="U1082" s="149">
        <f t="shared" si="97"/>
        <v>55145</v>
      </c>
      <c r="V1082" s="146">
        <f t="shared" si="98"/>
        <v>0</v>
      </c>
      <c r="W1082" s="150">
        <f t="shared" si="99"/>
        <v>33</v>
      </c>
      <c r="X1082" s="146">
        <f t="shared" si="101"/>
        <v>33</v>
      </c>
    </row>
    <row r="1083" spans="1:24" ht="2.25" customHeight="1" x14ac:dyDescent="0.25">
      <c r="U1083" s="149">
        <f t="shared" si="97"/>
        <v>0</v>
      </c>
      <c r="V1083" s="146">
        <f t="shared" si="98"/>
        <v>118.00277777777778</v>
      </c>
      <c r="W1083" s="150">
        <f t="shared" si="99"/>
        <v>0</v>
      </c>
      <c r="X1083" s="146">
        <f t="shared" si="101"/>
        <v>0</v>
      </c>
    </row>
    <row r="1084" spans="1:24" ht="12" customHeight="1" x14ac:dyDescent="0.25">
      <c r="A1084" s="283" t="s">
        <v>402</v>
      </c>
      <c r="B1084" s="283"/>
      <c r="C1084" s="283"/>
      <c r="D1084" s="283"/>
      <c r="E1084" s="283"/>
      <c r="F1084" s="283"/>
      <c r="G1084" s="283"/>
      <c r="M1084" s="260">
        <v>1105764.25</v>
      </c>
      <c r="O1084" s="284">
        <v>422206</v>
      </c>
      <c r="P1084" s="284"/>
      <c r="Q1084" s="284"/>
      <c r="R1084" s="260">
        <v>31280.5</v>
      </c>
      <c r="S1084" s="260">
        <v>453486.5</v>
      </c>
      <c r="U1084" s="281" t="s">
        <v>208</v>
      </c>
      <c r="V1084" s="282"/>
      <c r="W1084" s="147">
        <f>AVERAGE(W772:W1082)</f>
        <v>21.303438728117182</v>
      </c>
      <c r="X1084" s="147">
        <f>AVERAGE(X772:X1082)</f>
        <v>21.303438728117182</v>
      </c>
    </row>
    <row r="1085" spans="1:24" ht="14.25" customHeight="1" x14ac:dyDescent="0.25">
      <c r="B1085" s="283" t="s">
        <v>209</v>
      </c>
      <c r="C1085" s="283"/>
      <c r="D1085" s="283"/>
      <c r="E1085" s="283"/>
      <c r="F1085" s="283"/>
      <c r="G1085" s="283"/>
      <c r="H1085" s="283"/>
      <c r="M1085" s="261">
        <v>0</v>
      </c>
      <c r="O1085" s="285">
        <v>0</v>
      </c>
      <c r="P1085" s="285"/>
      <c r="Q1085" s="285"/>
      <c r="R1085" s="261">
        <v>0</v>
      </c>
      <c r="S1085" s="261">
        <v>0</v>
      </c>
      <c r="X1085" s="146"/>
    </row>
    <row r="1086" spans="1:24" ht="9.75" customHeight="1" thickBot="1" x14ac:dyDescent="0.3">
      <c r="A1086" s="283" t="s">
        <v>403</v>
      </c>
      <c r="B1086" s="283"/>
      <c r="C1086" s="283"/>
      <c r="D1086" s="283"/>
      <c r="E1086" s="283"/>
      <c r="F1086" s="283"/>
      <c r="G1086" s="283"/>
      <c r="M1086" s="286">
        <v>1105764.25</v>
      </c>
      <c r="O1086" s="286">
        <v>422206</v>
      </c>
      <c r="P1086" s="286"/>
      <c r="Q1086" s="286"/>
      <c r="R1086" s="286">
        <v>31280.5</v>
      </c>
      <c r="S1086" s="286">
        <v>453486.5</v>
      </c>
      <c r="X1086" s="146"/>
    </row>
    <row r="1087" spans="1:24" ht="6" customHeight="1" thickTop="1" thickBot="1" x14ac:dyDescent="0.3">
      <c r="M1087" s="286"/>
      <c r="O1087" s="286"/>
      <c r="P1087" s="286"/>
      <c r="Q1087" s="286"/>
      <c r="R1087" s="286"/>
      <c r="S1087" s="286"/>
      <c r="X1087" s="146"/>
    </row>
    <row r="1088" spans="1:24" ht="2.25" customHeight="1" thickTop="1" x14ac:dyDescent="0.25">
      <c r="X1088" s="146"/>
    </row>
    <row r="1089" spans="1:24" ht="14.25" customHeight="1" x14ac:dyDescent="0.25">
      <c r="A1089" s="283" t="s">
        <v>175</v>
      </c>
      <c r="B1089" s="283"/>
      <c r="C1089" s="283"/>
      <c r="D1089" s="283"/>
      <c r="E1089" s="283"/>
      <c r="F1089" s="283"/>
      <c r="G1089" s="283"/>
      <c r="H1089" s="283"/>
      <c r="I1089" s="283"/>
      <c r="J1089" s="283"/>
      <c r="K1089" s="283"/>
      <c r="L1089" s="283"/>
      <c r="M1089" s="283"/>
      <c r="N1089" s="283"/>
      <c r="O1089" s="283"/>
      <c r="P1089" s="283"/>
      <c r="Q1089" s="283"/>
      <c r="R1089" s="283"/>
      <c r="S1089" s="283"/>
      <c r="T1089" s="283"/>
      <c r="U1089" s="140" t="s">
        <v>201</v>
      </c>
      <c r="V1089" s="141">
        <v>43100</v>
      </c>
      <c r="W1089" s="140" t="s">
        <v>202</v>
      </c>
      <c r="X1089" s="148" t="s">
        <v>203</v>
      </c>
    </row>
    <row r="1090" spans="1:24" ht="2.25" customHeight="1" x14ac:dyDescent="0.25">
      <c r="W1090" s="142"/>
      <c r="X1090" s="146"/>
    </row>
    <row r="1091" spans="1:24" ht="0.75" customHeight="1" x14ac:dyDescent="0.25">
      <c r="X1091" s="146"/>
    </row>
    <row r="1092" spans="1:24" ht="9.75" customHeight="1" x14ac:dyDescent="0.25">
      <c r="A1092" s="288">
        <v>559</v>
      </c>
      <c r="B1092" s="288"/>
      <c r="D1092" s="258" t="s">
        <v>404</v>
      </c>
      <c r="E1092" s="289">
        <v>38128</v>
      </c>
      <c r="F1092" s="289"/>
      <c r="G1092" s="289"/>
      <c r="H1092" s="289"/>
      <c r="I1092" s="290" t="s">
        <v>205</v>
      </c>
      <c r="J1092" s="290"/>
      <c r="K1092" s="290"/>
      <c r="L1092" s="47">
        <v>33</v>
      </c>
      <c r="M1092" s="262">
        <v>4000</v>
      </c>
      <c r="N1092" s="47">
        <v>100</v>
      </c>
      <c r="O1092" s="291">
        <v>1525.23</v>
      </c>
      <c r="P1092" s="291"/>
      <c r="Q1092" s="291"/>
      <c r="R1092" s="262">
        <v>121.21000000000001</v>
      </c>
      <c r="S1092" s="262">
        <v>1646.44</v>
      </c>
      <c r="U1092" s="149">
        <f t="shared" ref="U1092:U1114" si="102">E1092+(L1092*365)</f>
        <v>50173</v>
      </c>
      <c r="V1092" s="146">
        <f t="shared" ref="V1092:V1114" si="103">YEARFRAC(E1092,$V$14)</f>
        <v>13.611111111111111</v>
      </c>
      <c r="W1092" s="150">
        <f t="shared" ref="W1092:W1114" si="104">IF(V1092&gt;L1092,0,L1092-V1092)</f>
        <v>19.388888888888889</v>
      </c>
      <c r="X1092" s="146">
        <f t="shared" ref="X1092:X1113" si="105">IF(W1092=0,0,W1092)</f>
        <v>19.388888888888889</v>
      </c>
    </row>
    <row r="1093" spans="1:24" ht="9.75" customHeight="1" x14ac:dyDescent="0.25">
      <c r="A1093" s="288">
        <v>566</v>
      </c>
      <c r="B1093" s="288"/>
      <c r="D1093" s="258" t="s">
        <v>404</v>
      </c>
      <c r="E1093" s="289">
        <v>38163</v>
      </c>
      <c r="F1093" s="289"/>
      <c r="G1093" s="289"/>
      <c r="H1093" s="289"/>
      <c r="I1093" s="290" t="s">
        <v>205</v>
      </c>
      <c r="J1093" s="290"/>
      <c r="K1093" s="290"/>
      <c r="L1093" s="47">
        <v>33</v>
      </c>
      <c r="M1093" s="262">
        <v>6000</v>
      </c>
      <c r="N1093" s="47">
        <v>100</v>
      </c>
      <c r="O1093" s="291">
        <v>2272.75</v>
      </c>
      <c r="P1093" s="291"/>
      <c r="Q1093" s="291"/>
      <c r="R1093" s="262">
        <v>181.82</v>
      </c>
      <c r="S1093" s="262">
        <v>2454.5700000000002</v>
      </c>
      <c r="U1093" s="149">
        <f t="shared" si="102"/>
        <v>50208</v>
      </c>
      <c r="V1093" s="146">
        <f t="shared" si="103"/>
        <v>13.516666666666667</v>
      </c>
      <c r="W1093" s="150">
        <f t="shared" si="104"/>
        <v>19.483333333333334</v>
      </c>
      <c r="X1093" s="146">
        <f t="shared" si="105"/>
        <v>19.483333333333334</v>
      </c>
    </row>
    <row r="1094" spans="1:24" ht="9.75" customHeight="1" x14ac:dyDescent="0.25">
      <c r="A1094" s="288">
        <v>590</v>
      </c>
      <c r="B1094" s="288"/>
      <c r="D1094" s="258" t="s">
        <v>405</v>
      </c>
      <c r="E1094" s="289">
        <v>38247</v>
      </c>
      <c r="F1094" s="289"/>
      <c r="G1094" s="289"/>
      <c r="H1094" s="289"/>
      <c r="I1094" s="290" t="s">
        <v>205</v>
      </c>
      <c r="J1094" s="290"/>
      <c r="K1094" s="290"/>
      <c r="L1094" s="47">
        <v>33</v>
      </c>
      <c r="M1094" s="262">
        <v>842</v>
      </c>
      <c r="N1094" s="47">
        <v>100</v>
      </c>
      <c r="O1094" s="291">
        <v>312.62</v>
      </c>
      <c r="P1094" s="291"/>
      <c r="Q1094" s="291"/>
      <c r="R1094" s="262">
        <v>25.52</v>
      </c>
      <c r="S1094" s="262">
        <v>338.14</v>
      </c>
      <c r="U1094" s="149">
        <f t="shared" si="102"/>
        <v>50292</v>
      </c>
      <c r="V1094" s="146">
        <f t="shared" si="103"/>
        <v>13.28888888888889</v>
      </c>
      <c r="W1094" s="150">
        <f t="shared" si="104"/>
        <v>19.711111111111109</v>
      </c>
      <c r="X1094" s="146">
        <f t="shared" si="105"/>
        <v>19.711111111111109</v>
      </c>
    </row>
    <row r="1095" spans="1:24" ht="9.75" customHeight="1" x14ac:dyDescent="0.25">
      <c r="A1095" s="288">
        <v>602</v>
      </c>
      <c r="B1095" s="288"/>
      <c r="D1095" s="258" t="s">
        <v>404</v>
      </c>
      <c r="E1095" s="289">
        <v>38296</v>
      </c>
      <c r="F1095" s="289"/>
      <c r="G1095" s="289"/>
      <c r="H1095" s="289"/>
      <c r="I1095" s="290" t="s">
        <v>205</v>
      </c>
      <c r="J1095" s="290"/>
      <c r="K1095" s="290"/>
      <c r="L1095" s="47">
        <v>33</v>
      </c>
      <c r="M1095" s="262">
        <v>1325</v>
      </c>
      <c r="N1095" s="47">
        <v>100</v>
      </c>
      <c r="O1095" s="291">
        <v>488.49</v>
      </c>
      <c r="P1095" s="291"/>
      <c r="Q1095" s="291"/>
      <c r="R1095" s="262">
        <v>40.15</v>
      </c>
      <c r="S1095" s="262">
        <v>528.64</v>
      </c>
      <c r="U1095" s="149">
        <f t="shared" si="102"/>
        <v>50341</v>
      </c>
      <c r="V1095" s="146">
        <f t="shared" si="103"/>
        <v>13.155555555555555</v>
      </c>
      <c r="W1095" s="150">
        <f t="shared" si="104"/>
        <v>19.844444444444445</v>
      </c>
      <c r="X1095" s="146">
        <f t="shared" si="105"/>
        <v>19.844444444444445</v>
      </c>
    </row>
    <row r="1096" spans="1:24" ht="9.75" customHeight="1" x14ac:dyDescent="0.25">
      <c r="A1096" s="288">
        <v>744</v>
      </c>
      <c r="B1096" s="288"/>
      <c r="D1096" s="258" t="s">
        <v>406</v>
      </c>
      <c r="E1096" s="289">
        <v>39717</v>
      </c>
      <c r="F1096" s="289"/>
      <c r="G1096" s="289"/>
      <c r="H1096" s="289"/>
      <c r="I1096" s="290" t="s">
        <v>205</v>
      </c>
      <c r="J1096" s="290"/>
      <c r="K1096" s="290"/>
      <c r="L1096" s="47">
        <v>33</v>
      </c>
      <c r="M1096" s="262">
        <v>500</v>
      </c>
      <c r="N1096" s="47">
        <v>100</v>
      </c>
      <c r="O1096" s="291">
        <v>124.99000000000001</v>
      </c>
      <c r="P1096" s="291"/>
      <c r="Q1096" s="291"/>
      <c r="R1096" s="262">
        <v>15.15</v>
      </c>
      <c r="S1096" s="262">
        <v>140.13999999999999</v>
      </c>
      <c r="U1096" s="149">
        <f t="shared" si="102"/>
        <v>51762</v>
      </c>
      <c r="V1096" s="146">
        <f t="shared" si="103"/>
        <v>9.2638888888888893</v>
      </c>
      <c r="W1096" s="150">
        <f t="shared" si="104"/>
        <v>23.736111111111111</v>
      </c>
      <c r="X1096" s="146">
        <f t="shared" si="105"/>
        <v>23.736111111111111</v>
      </c>
    </row>
    <row r="1097" spans="1:24" ht="9.75" customHeight="1" x14ac:dyDescent="0.25">
      <c r="A1097" s="288">
        <v>761</v>
      </c>
      <c r="B1097" s="288"/>
      <c r="D1097" s="258" t="s">
        <v>406</v>
      </c>
      <c r="E1097" s="289">
        <v>39731</v>
      </c>
      <c r="F1097" s="289"/>
      <c r="G1097" s="289"/>
      <c r="H1097" s="289"/>
      <c r="I1097" s="290" t="s">
        <v>205</v>
      </c>
      <c r="J1097" s="290"/>
      <c r="K1097" s="290"/>
      <c r="L1097" s="47">
        <v>33</v>
      </c>
      <c r="M1097" s="262">
        <v>1015</v>
      </c>
      <c r="N1097" s="47">
        <v>100</v>
      </c>
      <c r="O1097" s="291">
        <v>253.77</v>
      </c>
      <c r="P1097" s="291"/>
      <c r="Q1097" s="291"/>
      <c r="R1097" s="262">
        <v>30.76</v>
      </c>
      <c r="S1097" s="262">
        <v>284.52999999999997</v>
      </c>
      <c r="U1097" s="149">
        <f t="shared" si="102"/>
        <v>51776</v>
      </c>
      <c r="V1097" s="146">
        <f t="shared" si="103"/>
        <v>9.2249999999999996</v>
      </c>
      <c r="W1097" s="150">
        <f t="shared" si="104"/>
        <v>23.774999999999999</v>
      </c>
      <c r="X1097" s="146">
        <f t="shared" si="105"/>
        <v>23.774999999999999</v>
      </c>
    </row>
    <row r="1098" spans="1:24" ht="9.75" customHeight="1" x14ac:dyDescent="0.25">
      <c r="A1098" s="288">
        <v>762</v>
      </c>
      <c r="B1098" s="288"/>
      <c r="D1098" s="258" t="s">
        <v>407</v>
      </c>
      <c r="E1098" s="289">
        <v>39744</v>
      </c>
      <c r="F1098" s="289"/>
      <c r="G1098" s="289"/>
      <c r="H1098" s="289"/>
      <c r="I1098" s="290" t="s">
        <v>205</v>
      </c>
      <c r="J1098" s="290"/>
      <c r="K1098" s="290"/>
      <c r="L1098" s="47">
        <v>33</v>
      </c>
      <c r="M1098" s="262">
        <v>3028.69</v>
      </c>
      <c r="N1098" s="47">
        <v>100</v>
      </c>
      <c r="O1098" s="291">
        <v>749.54</v>
      </c>
      <c r="P1098" s="291"/>
      <c r="Q1098" s="291"/>
      <c r="R1098" s="262">
        <v>91.78</v>
      </c>
      <c r="S1098" s="262">
        <v>841.32</v>
      </c>
      <c r="U1098" s="149">
        <f t="shared" si="102"/>
        <v>51789</v>
      </c>
      <c r="V1098" s="146">
        <f t="shared" si="103"/>
        <v>9.1888888888888882</v>
      </c>
      <c r="W1098" s="150">
        <f t="shared" si="104"/>
        <v>23.81111111111111</v>
      </c>
      <c r="X1098" s="146">
        <f t="shared" si="105"/>
        <v>23.81111111111111</v>
      </c>
    </row>
    <row r="1099" spans="1:24" ht="9.75" customHeight="1" x14ac:dyDescent="0.25">
      <c r="A1099" s="288">
        <v>768</v>
      </c>
      <c r="B1099" s="288"/>
      <c r="D1099" s="258" t="s">
        <v>408</v>
      </c>
      <c r="E1099" s="289">
        <v>39756</v>
      </c>
      <c r="F1099" s="289"/>
      <c r="G1099" s="289"/>
      <c r="H1099" s="289"/>
      <c r="I1099" s="290" t="s">
        <v>205</v>
      </c>
      <c r="J1099" s="290"/>
      <c r="K1099" s="290"/>
      <c r="L1099" s="47">
        <v>33</v>
      </c>
      <c r="M1099" s="262">
        <v>335</v>
      </c>
      <c r="N1099" s="47">
        <v>100</v>
      </c>
      <c r="O1099" s="291">
        <v>82.89</v>
      </c>
      <c r="P1099" s="291"/>
      <c r="Q1099" s="291"/>
      <c r="R1099" s="262">
        <v>10.15</v>
      </c>
      <c r="S1099" s="262">
        <v>93.04</v>
      </c>
      <c r="U1099" s="149">
        <f t="shared" si="102"/>
        <v>51801</v>
      </c>
      <c r="V1099" s="146">
        <f t="shared" si="103"/>
        <v>9.1583333333333332</v>
      </c>
      <c r="W1099" s="150">
        <f t="shared" si="104"/>
        <v>23.841666666666669</v>
      </c>
      <c r="X1099" s="146">
        <f t="shared" si="105"/>
        <v>23.841666666666669</v>
      </c>
    </row>
    <row r="1100" spans="1:24" ht="9.75" customHeight="1" x14ac:dyDescent="0.25">
      <c r="A1100" s="288">
        <v>769</v>
      </c>
      <c r="B1100" s="288"/>
      <c r="D1100" s="258" t="s">
        <v>409</v>
      </c>
      <c r="E1100" s="289">
        <v>39763</v>
      </c>
      <c r="F1100" s="289"/>
      <c r="G1100" s="289"/>
      <c r="H1100" s="289"/>
      <c r="I1100" s="290" t="s">
        <v>205</v>
      </c>
      <c r="J1100" s="290"/>
      <c r="K1100" s="290"/>
      <c r="L1100" s="47">
        <v>33</v>
      </c>
      <c r="M1100" s="262">
        <v>301.97000000000003</v>
      </c>
      <c r="N1100" s="47">
        <v>100</v>
      </c>
      <c r="O1100" s="291">
        <v>74.73</v>
      </c>
      <c r="P1100" s="291"/>
      <c r="Q1100" s="291"/>
      <c r="R1100" s="262">
        <v>9.15</v>
      </c>
      <c r="S1100" s="262">
        <v>83.88</v>
      </c>
      <c r="U1100" s="149">
        <f t="shared" si="102"/>
        <v>51808</v>
      </c>
      <c r="V1100" s="146">
        <f t="shared" si="103"/>
        <v>9.1388888888888893</v>
      </c>
      <c r="W1100" s="150">
        <f t="shared" si="104"/>
        <v>23.861111111111111</v>
      </c>
      <c r="X1100" s="146">
        <f t="shared" si="105"/>
        <v>23.861111111111111</v>
      </c>
    </row>
    <row r="1101" spans="1:24" ht="9.75" customHeight="1" x14ac:dyDescent="0.25">
      <c r="A1101" s="288">
        <v>770</v>
      </c>
      <c r="B1101" s="288"/>
      <c r="D1101" s="258" t="s">
        <v>410</v>
      </c>
      <c r="E1101" s="289">
        <v>39763</v>
      </c>
      <c r="F1101" s="289"/>
      <c r="G1101" s="289"/>
      <c r="H1101" s="289"/>
      <c r="I1101" s="290" t="s">
        <v>205</v>
      </c>
      <c r="J1101" s="290"/>
      <c r="K1101" s="290"/>
      <c r="L1101" s="47">
        <v>33</v>
      </c>
      <c r="M1101" s="262">
        <v>151.01</v>
      </c>
      <c r="N1101" s="47">
        <v>100</v>
      </c>
      <c r="O1101" s="291">
        <v>37.4</v>
      </c>
      <c r="P1101" s="291"/>
      <c r="Q1101" s="291"/>
      <c r="R1101" s="262">
        <v>4.58</v>
      </c>
      <c r="S1101" s="262">
        <v>41.980000000000004</v>
      </c>
      <c r="U1101" s="149">
        <f t="shared" si="102"/>
        <v>51808</v>
      </c>
      <c r="V1101" s="146">
        <f t="shared" si="103"/>
        <v>9.1388888888888893</v>
      </c>
      <c r="W1101" s="150">
        <f t="shared" si="104"/>
        <v>23.861111111111111</v>
      </c>
      <c r="X1101" s="146">
        <f t="shared" si="105"/>
        <v>23.861111111111111</v>
      </c>
    </row>
    <row r="1102" spans="1:24" ht="9.75" customHeight="1" x14ac:dyDescent="0.25">
      <c r="A1102" s="288">
        <v>771</v>
      </c>
      <c r="B1102" s="288"/>
      <c r="D1102" s="258" t="s">
        <v>411</v>
      </c>
      <c r="E1102" s="289">
        <v>39766</v>
      </c>
      <c r="F1102" s="289"/>
      <c r="G1102" s="289"/>
      <c r="H1102" s="289"/>
      <c r="I1102" s="290" t="s">
        <v>205</v>
      </c>
      <c r="J1102" s="290"/>
      <c r="K1102" s="290"/>
      <c r="L1102" s="47">
        <v>33</v>
      </c>
      <c r="M1102" s="262">
        <v>2000</v>
      </c>
      <c r="N1102" s="47">
        <v>100</v>
      </c>
      <c r="O1102" s="291">
        <v>494.98</v>
      </c>
      <c r="P1102" s="291"/>
      <c r="Q1102" s="291"/>
      <c r="R1102" s="262">
        <v>60.61</v>
      </c>
      <c r="S1102" s="262">
        <v>555.59</v>
      </c>
      <c r="U1102" s="149">
        <f t="shared" si="102"/>
        <v>51811</v>
      </c>
      <c r="V1102" s="146">
        <f t="shared" si="103"/>
        <v>9.1305555555555564</v>
      </c>
      <c r="W1102" s="150">
        <f t="shared" si="104"/>
        <v>23.869444444444444</v>
      </c>
      <c r="X1102" s="146">
        <f t="shared" si="105"/>
        <v>23.869444444444444</v>
      </c>
    </row>
    <row r="1103" spans="1:24" ht="9.75" customHeight="1" x14ac:dyDescent="0.25">
      <c r="A1103" s="288">
        <v>789</v>
      </c>
      <c r="B1103" s="288"/>
      <c r="D1103" s="258" t="s">
        <v>412</v>
      </c>
      <c r="E1103" s="289">
        <v>39923</v>
      </c>
      <c r="F1103" s="289"/>
      <c r="G1103" s="289"/>
      <c r="H1103" s="289"/>
      <c r="I1103" s="290" t="s">
        <v>205</v>
      </c>
      <c r="J1103" s="290"/>
      <c r="K1103" s="290"/>
      <c r="L1103" s="47">
        <v>33</v>
      </c>
      <c r="M1103" s="262">
        <v>871</v>
      </c>
      <c r="N1103" s="47">
        <v>100</v>
      </c>
      <c r="O1103" s="291">
        <v>202.32</v>
      </c>
      <c r="P1103" s="291"/>
      <c r="Q1103" s="291"/>
      <c r="R1103" s="262">
        <v>26.39</v>
      </c>
      <c r="S1103" s="262">
        <v>228.71</v>
      </c>
      <c r="U1103" s="149">
        <f t="shared" si="102"/>
        <v>51968</v>
      </c>
      <c r="V1103" s="146">
        <f t="shared" si="103"/>
        <v>8.6972222222222229</v>
      </c>
      <c r="W1103" s="150">
        <f t="shared" si="104"/>
        <v>24.302777777777777</v>
      </c>
      <c r="X1103" s="146">
        <f t="shared" si="105"/>
        <v>24.302777777777777</v>
      </c>
    </row>
    <row r="1104" spans="1:24" ht="9.75" customHeight="1" x14ac:dyDescent="0.25">
      <c r="A1104" s="288">
        <v>800</v>
      </c>
      <c r="B1104" s="288"/>
      <c r="D1104" s="258" t="s">
        <v>413</v>
      </c>
      <c r="E1104" s="289">
        <v>40057</v>
      </c>
      <c r="F1104" s="289"/>
      <c r="G1104" s="289"/>
      <c r="H1104" s="289"/>
      <c r="I1104" s="290" t="s">
        <v>205</v>
      </c>
      <c r="J1104" s="290"/>
      <c r="K1104" s="290"/>
      <c r="L1104" s="47">
        <v>33</v>
      </c>
      <c r="M1104" s="262">
        <v>135500</v>
      </c>
      <c r="N1104" s="47">
        <v>100</v>
      </c>
      <c r="O1104" s="291">
        <v>30111.11</v>
      </c>
      <c r="P1104" s="291"/>
      <c r="Q1104" s="291"/>
      <c r="R1104" s="262">
        <v>4106.0600000000004</v>
      </c>
      <c r="S1104" s="262">
        <v>34217.17</v>
      </c>
      <c r="U1104" s="149">
        <f t="shared" si="102"/>
        <v>52102</v>
      </c>
      <c r="V1104" s="146">
        <f t="shared" si="103"/>
        <v>8.3333333333333339</v>
      </c>
      <c r="W1104" s="150">
        <f t="shared" si="104"/>
        <v>24.666666666666664</v>
      </c>
      <c r="X1104" s="146">
        <f t="shared" si="105"/>
        <v>24.666666666666664</v>
      </c>
    </row>
    <row r="1105" spans="1:24" ht="9.75" customHeight="1" x14ac:dyDescent="0.25">
      <c r="A1105" s="288">
        <v>967</v>
      </c>
      <c r="B1105" s="288"/>
      <c r="D1105" s="258" t="s">
        <v>414</v>
      </c>
      <c r="E1105" s="289">
        <v>41122</v>
      </c>
      <c r="F1105" s="289"/>
      <c r="G1105" s="289"/>
      <c r="H1105" s="289"/>
      <c r="I1105" s="290" t="s">
        <v>205</v>
      </c>
      <c r="J1105" s="290"/>
      <c r="K1105" s="290"/>
      <c r="L1105" s="47">
        <v>33</v>
      </c>
      <c r="M1105" s="262">
        <v>2255.06</v>
      </c>
      <c r="N1105" s="47">
        <v>100</v>
      </c>
      <c r="O1105" s="291">
        <v>301.83999999999997</v>
      </c>
      <c r="P1105" s="291"/>
      <c r="Q1105" s="291"/>
      <c r="R1105" s="262">
        <v>68.34</v>
      </c>
      <c r="S1105" s="262">
        <v>370.18</v>
      </c>
      <c r="U1105" s="149">
        <f t="shared" si="102"/>
        <v>53167</v>
      </c>
      <c r="V1105" s="146">
        <f t="shared" si="103"/>
        <v>5.416666666666667</v>
      </c>
      <c r="W1105" s="150">
        <f t="shared" si="104"/>
        <v>27.583333333333332</v>
      </c>
      <c r="X1105" s="146">
        <f t="shared" si="105"/>
        <v>27.583333333333332</v>
      </c>
    </row>
    <row r="1106" spans="1:24" ht="9.75" customHeight="1" x14ac:dyDescent="0.25">
      <c r="A1106" s="288">
        <v>968</v>
      </c>
      <c r="B1106" s="288"/>
      <c r="D1106" s="258" t="s">
        <v>415</v>
      </c>
      <c r="E1106" s="289">
        <v>41124</v>
      </c>
      <c r="F1106" s="289"/>
      <c r="G1106" s="289"/>
      <c r="H1106" s="289"/>
      <c r="I1106" s="290" t="s">
        <v>205</v>
      </c>
      <c r="J1106" s="290"/>
      <c r="K1106" s="290"/>
      <c r="L1106" s="47">
        <v>33</v>
      </c>
      <c r="M1106" s="262">
        <v>3805.04</v>
      </c>
      <c r="N1106" s="47">
        <v>100</v>
      </c>
      <c r="O1106" s="291">
        <v>509.24</v>
      </c>
      <c r="P1106" s="291"/>
      <c r="Q1106" s="291"/>
      <c r="R1106" s="262">
        <v>115.3</v>
      </c>
      <c r="S1106" s="262">
        <v>624.54</v>
      </c>
      <c r="U1106" s="149">
        <f t="shared" si="102"/>
        <v>53169</v>
      </c>
      <c r="V1106" s="146">
        <f t="shared" si="103"/>
        <v>5.4111111111111114</v>
      </c>
      <c r="W1106" s="150">
        <f t="shared" si="104"/>
        <v>27.588888888888889</v>
      </c>
      <c r="X1106" s="146">
        <f t="shared" si="105"/>
        <v>27.588888888888889</v>
      </c>
    </row>
    <row r="1107" spans="1:24" ht="9.75" customHeight="1" x14ac:dyDescent="0.25">
      <c r="A1107" s="288">
        <v>969</v>
      </c>
      <c r="B1107" s="288"/>
      <c r="D1107" s="258" t="s">
        <v>414</v>
      </c>
      <c r="E1107" s="289">
        <v>41144</v>
      </c>
      <c r="F1107" s="289"/>
      <c r="G1107" s="289"/>
      <c r="H1107" s="289"/>
      <c r="I1107" s="290" t="s">
        <v>205</v>
      </c>
      <c r="J1107" s="290"/>
      <c r="K1107" s="290"/>
      <c r="L1107" s="47">
        <v>33</v>
      </c>
      <c r="M1107" s="262">
        <v>2186</v>
      </c>
      <c r="N1107" s="47">
        <v>100</v>
      </c>
      <c r="O1107" s="291">
        <v>287.04000000000002</v>
      </c>
      <c r="P1107" s="291"/>
      <c r="Q1107" s="291"/>
      <c r="R1107" s="262">
        <v>66.239999999999995</v>
      </c>
      <c r="S1107" s="262">
        <v>353.28000000000003</v>
      </c>
      <c r="U1107" s="149">
        <f t="shared" si="102"/>
        <v>53189</v>
      </c>
      <c r="V1107" s="146">
        <f t="shared" si="103"/>
        <v>5.3555555555555552</v>
      </c>
      <c r="W1107" s="150">
        <f t="shared" si="104"/>
        <v>27.644444444444446</v>
      </c>
      <c r="X1107" s="146">
        <f t="shared" si="105"/>
        <v>27.644444444444446</v>
      </c>
    </row>
    <row r="1108" spans="1:24" ht="9.75" customHeight="1" x14ac:dyDescent="0.25">
      <c r="A1108" s="288">
        <v>975</v>
      </c>
      <c r="B1108" s="288"/>
      <c r="D1108" s="258" t="s">
        <v>407</v>
      </c>
      <c r="E1108" s="289">
        <v>41182</v>
      </c>
      <c r="F1108" s="289"/>
      <c r="G1108" s="289"/>
      <c r="H1108" s="289"/>
      <c r="I1108" s="290" t="s">
        <v>205</v>
      </c>
      <c r="J1108" s="290"/>
      <c r="K1108" s="290"/>
      <c r="L1108" s="47">
        <v>33</v>
      </c>
      <c r="M1108" s="262">
        <v>8735.41</v>
      </c>
      <c r="N1108" s="47">
        <v>100</v>
      </c>
      <c r="O1108" s="291">
        <v>1125.02</v>
      </c>
      <c r="P1108" s="291"/>
      <c r="Q1108" s="291"/>
      <c r="R1108" s="262">
        <v>264.70999999999998</v>
      </c>
      <c r="S1108" s="262">
        <v>1389.73</v>
      </c>
      <c r="U1108" s="149">
        <f t="shared" si="102"/>
        <v>53227</v>
      </c>
      <c r="V1108" s="146">
        <f t="shared" si="103"/>
        <v>5.25</v>
      </c>
      <c r="W1108" s="150">
        <f t="shared" si="104"/>
        <v>27.75</v>
      </c>
      <c r="X1108" s="146">
        <f t="shared" si="105"/>
        <v>27.75</v>
      </c>
    </row>
    <row r="1109" spans="1:24" ht="9.75" customHeight="1" x14ac:dyDescent="0.25">
      <c r="A1109" s="288">
        <v>979</v>
      </c>
      <c r="B1109" s="288"/>
      <c r="D1109" s="258" t="s">
        <v>416</v>
      </c>
      <c r="E1109" s="289">
        <v>41213</v>
      </c>
      <c r="F1109" s="289"/>
      <c r="G1109" s="289"/>
      <c r="H1109" s="289"/>
      <c r="I1109" s="290" t="s">
        <v>205</v>
      </c>
      <c r="J1109" s="290"/>
      <c r="K1109" s="290"/>
      <c r="L1109" s="47">
        <v>33</v>
      </c>
      <c r="M1109" s="262">
        <v>1061.3499999999999</v>
      </c>
      <c r="N1109" s="47">
        <v>100</v>
      </c>
      <c r="O1109" s="291">
        <v>134</v>
      </c>
      <c r="P1109" s="291"/>
      <c r="Q1109" s="291"/>
      <c r="R1109" s="262">
        <v>32.159999999999997</v>
      </c>
      <c r="S1109" s="262">
        <v>166.16</v>
      </c>
      <c r="U1109" s="149">
        <f t="shared" si="102"/>
        <v>53258</v>
      </c>
      <c r="V1109" s="146">
        <f t="shared" si="103"/>
        <v>5.166666666666667</v>
      </c>
      <c r="W1109" s="150">
        <f t="shared" si="104"/>
        <v>27.833333333333332</v>
      </c>
      <c r="X1109" s="146">
        <f t="shared" si="105"/>
        <v>27.833333333333332</v>
      </c>
    </row>
    <row r="1110" spans="1:24" ht="9.75" customHeight="1" x14ac:dyDescent="0.25">
      <c r="A1110" s="288">
        <v>1031</v>
      </c>
      <c r="B1110" s="288"/>
      <c r="D1110" s="258" t="s">
        <v>175</v>
      </c>
      <c r="E1110" s="289">
        <v>41305</v>
      </c>
      <c r="F1110" s="289"/>
      <c r="G1110" s="289"/>
      <c r="H1110" s="289"/>
      <c r="I1110" s="290" t="s">
        <v>205</v>
      </c>
      <c r="J1110" s="290"/>
      <c r="K1110" s="290"/>
      <c r="L1110" s="47">
        <v>33</v>
      </c>
      <c r="M1110" s="262">
        <v>150</v>
      </c>
      <c r="N1110" s="47">
        <v>100</v>
      </c>
      <c r="O1110" s="291">
        <v>17.82</v>
      </c>
      <c r="P1110" s="291"/>
      <c r="Q1110" s="291"/>
      <c r="R1110" s="262">
        <v>4.55</v>
      </c>
      <c r="S1110" s="262">
        <v>22.37</v>
      </c>
      <c r="U1110" s="149">
        <f t="shared" si="102"/>
        <v>53350</v>
      </c>
      <c r="V1110" s="146">
        <f t="shared" si="103"/>
        <v>4.916666666666667</v>
      </c>
      <c r="W1110" s="150">
        <f t="shared" si="104"/>
        <v>28.083333333333332</v>
      </c>
      <c r="X1110" s="146">
        <f t="shared" si="105"/>
        <v>28.083333333333332</v>
      </c>
    </row>
    <row r="1111" spans="1:24" ht="9.75" customHeight="1" x14ac:dyDescent="0.25">
      <c r="A1111" s="288">
        <v>1032</v>
      </c>
      <c r="B1111" s="288"/>
      <c r="D1111" s="258" t="s">
        <v>175</v>
      </c>
      <c r="E1111" s="289">
        <v>41364</v>
      </c>
      <c r="F1111" s="289"/>
      <c r="G1111" s="289"/>
      <c r="H1111" s="289"/>
      <c r="I1111" s="290" t="s">
        <v>205</v>
      </c>
      <c r="J1111" s="290"/>
      <c r="K1111" s="290"/>
      <c r="L1111" s="47">
        <v>33</v>
      </c>
      <c r="M1111" s="262">
        <v>59.76</v>
      </c>
      <c r="N1111" s="47">
        <v>100</v>
      </c>
      <c r="O1111" s="291">
        <v>6.79</v>
      </c>
      <c r="P1111" s="291"/>
      <c r="Q1111" s="291"/>
      <c r="R1111" s="262">
        <v>1.81</v>
      </c>
      <c r="S1111" s="262">
        <v>8.6</v>
      </c>
      <c r="U1111" s="149">
        <f t="shared" si="102"/>
        <v>53409</v>
      </c>
      <c r="V1111" s="146">
        <f t="shared" si="103"/>
        <v>4.75</v>
      </c>
      <c r="W1111" s="150">
        <f t="shared" si="104"/>
        <v>28.25</v>
      </c>
      <c r="X1111" s="146">
        <f t="shared" si="105"/>
        <v>28.25</v>
      </c>
    </row>
    <row r="1112" spans="1:24" ht="9.75" customHeight="1" x14ac:dyDescent="0.25">
      <c r="A1112" s="288">
        <v>1118</v>
      </c>
      <c r="B1112" s="288"/>
      <c r="D1112" s="258" t="s">
        <v>417</v>
      </c>
      <c r="E1112" s="289">
        <v>42521</v>
      </c>
      <c r="F1112" s="289"/>
      <c r="G1112" s="289"/>
      <c r="H1112" s="289"/>
      <c r="I1112" s="290" t="s">
        <v>205</v>
      </c>
      <c r="J1112" s="290"/>
      <c r="K1112" s="290"/>
      <c r="L1112" s="47">
        <v>33</v>
      </c>
      <c r="M1112" s="262">
        <v>3065.02</v>
      </c>
      <c r="N1112" s="47">
        <v>100</v>
      </c>
      <c r="O1112" s="291">
        <v>54.18</v>
      </c>
      <c r="P1112" s="291"/>
      <c r="Q1112" s="291"/>
      <c r="R1112" s="262">
        <v>92.88</v>
      </c>
      <c r="S1112" s="262">
        <v>147.06</v>
      </c>
      <c r="U1112" s="149">
        <f t="shared" si="102"/>
        <v>54566</v>
      </c>
      <c r="V1112" s="146">
        <f t="shared" si="103"/>
        <v>1.5833333333333333</v>
      </c>
      <c r="W1112" s="150">
        <f t="shared" si="104"/>
        <v>31.416666666666668</v>
      </c>
      <c r="X1112" s="146">
        <f t="shared" si="105"/>
        <v>31.416666666666668</v>
      </c>
    </row>
    <row r="1113" spans="1:24" ht="9.75" customHeight="1" x14ac:dyDescent="0.25">
      <c r="A1113" s="288">
        <v>1126</v>
      </c>
      <c r="B1113" s="288"/>
      <c r="D1113" s="258" t="s">
        <v>416</v>
      </c>
      <c r="E1113" s="289">
        <v>42582</v>
      </c>
      <c r="F1113" s="289"/>
      <c r="G1113" s="289"/>
      <c r="H1113" s="289"/>
      <c r="I1113" s="290" t="s">
        <v>205</v>
      </c>
      <c r="J1113" s="290"/>
      <c r="K1113" s="290"/>
      <c r="L1113" s="47">
        <v>33</v>
      </c>
      <c r="M1113" s="262">
        <v>1655.58</v>
      </c>
      <c r="N1113" s="47">
        <v>100</v>
      </c>
      <c r="O1113" s="291">
        <v>20.900000000000002</v>
      </c>
      <c r="P1113" s="291"/>
      <c r="Q1113" s="291"/>
      <c r="R1113" s="262">
        <v>50.17</v>
      </c>
      <c r="S1113" s="262">
        <v>71.069999999999993</v>
      </c>
      <c r="U1113" s="149">
        <f t="shared" si="102"/>
        <v>54627</v>
      </c>
      <c r="V1113" s="146">
        <f t="shared" si="103"/>
        <v>1.4166666666666667</v>
      </c>
      <c r="W1113" s="150">
        <f t="shared" si="104"/>
        <v>31.583333333333332</v>
      </c>
      <c r="X1113" s="146">
        <f t="shared" si="105"/>
        <v>31.583333333333332</v>
      </c>
    </row>
    <row r="1114" spans="1:24" ht="2.25" customHeight="1" x14ac:dyDescent="0.25">
      <c r="U1114" s="149">
        <f t="shared" si="102"/>
        <v>0</v>
      </c>
      <c r="V1114" s="146">
        <f t="shared" si="103"/>
        <v>118.00277777777778</v>
      </c>
      <c r="W1114" s="150">
        <f t="shared" si="104"/>
        <v>0</v>
      </c>
      <c r="X1114" s="146"/>
    </row>
    <row r="1115" spans="1:24" ht="12" customHeight="1" x14ac:dyDescent="0.25">
      <c r="A1115" s="283" t="s">
        <v>418</v>
      </c>
      <c r="B1115" s="283"/>
      <c r="C1115" s="283"/>
      <c r="D1115" s="283"/>
      <c r="E1115" s="283"/>
      <c r="F1115" s="283"/>
      <c r="G1115" s="283"/>
      <c r="M1115" s="260">
        <v>178842.89</v>
      </c>
      <c r="O1115" s="284">
        <v>39187.65</v>
      </c>
      <c r="P1115" s="284"/>
      <c r="Q1115" s="284"/>
      <c r="R1115" s="260">
        <v>5419.49</v>
      </c>
      <c r="S1115" s="260">
        <v>44607.14</v>
      </c>
      <c r="U1115" s="281" t="s">
        <v>208</v>
      </c>
      <c r="V1115" s="282"/>
      <c r="W1115" s="147">
        <f>AVERAGE(W1092:W1113)</f>
        <v>25.085732323232321</v>
      </c>
      <c r="X1115" s="147">
        <f>AVERAGE(X1092:X1113)</f>
        <v>25.085732323232321</v>
      </c>
    </row>
    <row r="1116" spans="1:24" ht="14.25" customHeight="1" x14ac:dyDescent="0.25">
      <c r="B1116" s="283" t="s">
        <v>209</v>
      </c>
      <c r="C1116" s="283"/>
      <c r="D1116" s="283"/>
      <c r="E1116" s="283"/>
      <c r="F1116" s="283"/>
      <c r="G1116" s="283"/>
      <c r="H1116" s="283"/>
      <c r="M1116" s="261">
        <v>0</v>
      </c>
      <c r="O1116" s="285">
        <v>0</v>
      </c>
      <c r="P1116" s="285"/>
      <c r="Q1116" s="285"/>
      <c r="R1116" s="261">
        <v>0</v>
      </c>
      <c r="S1116" s="261">
        <v>0</v>
      </c>
      <c r="X1116" s="146"/>
    </row>
    <row r="1117" spans="1:24" ht="9.75" customHeight="1" thickBot="1" x14ac:dyDescent="0.3">
      <c r="A1117" s="283" t="s">
        <v>419</v>
      </c>
      <c r="B1117" s="283"/>
      <c r="C1117" s="283"/>
      <c r="D1117" s="283"/>
      <c r="E1117" s="283"/>
      <c r="F1117" s="283"/>
      <c r="G1117" s="283"/>
      <c r="M1117" s="286">
        <v>178842.89</v>
      </c>
      <c r="O1117" s="286">
        <v>39187.65</v>
      </c>
      <c r="P1117" s="286"/>
      <c r="Q1117" s="286"/>
      <c r="R1117" s="286">
        <v>5419.49</v>
      </c>
      <c r="S1117" s="286">
        <v>44607.14</v>
      </c>
      <c r="X1117" s="146"/>
    </row>
    <row r="1118" spans="1:24" ht="6" customHeight="1" thickTop="1" thickBot="1" x14ac:dyDescent="0.3">
      <c r="M1118" s="286"/>
      <c r="O1118" s="286"/>
      <c r="P1118" s="286"/>
      <c r="Q1118" s="286"/>
      <c r="R1118" s="286"/>
      <c r="S1118" s="286"/>
      <c r="X1118" s="146"/>
    </row>
    <row r="1119" spans="1:24" ht="2.25" customHeight="1" thickTop="1" x14ac:dyDescent="0.25">
      <c r="X1119" s="146"/>
    </row>
    <row r="1120" spans="1:24" ht="14.25" customHeight="1" x14ac:dyDescent="0.25">
      <c r="A1120" s="283" t="s">
        <v>176</v>
      </c>
      <c r="B1120" s="283"/>
      <c r="C1120" s="283"/>
      <c r="D1120" s="283"/>
      <c r="E1120" s="283"/>
      <c r="F1120" s="283"/>
      <c r="G1120" s="283"/>
      <c r="H1120" s="283"/>
      <c r="I1120" s="283"/>
      <c r="J1120" s="283"/>
      <c r="K1120" s="283"/>
      <c r="L1120" s="283"/>
      <c r="M1120" s="283"/>
      <c r="N1120" s="283"/>
      <c r="O1120" s="283"/>
      <c r="P1120" s="283"/>
      <c r="Q1120" s="283"/>
      <c r="R1120" s="283"/>
      <c r="S1120" s="283"/>
      <c r="T1120" s="283"/>
      <c r="U1120" s="140" t="s">
        <v>201</v>
      </c>
      <c r="V1120" s="141">
        <v>43100</v>
      </c>
      <c r="W1120" s="140" t="s">
        <v>202</v>
      </c>
      <c r="X1120" s="148" t="s">
        <v>203</v>
      </c>
    </row>
    <row r="1121" spans="1:24" ht="2.25" customHeight="1" x14ac:dyDescent="0.25">
      <c r="W1121" s="142"/>
      <c r="X1121" s="146"/>
    </row>
    <row r="1122" spans="1:24" ht="0.75" customHeight="1" x14ac:dyDescent="0.25">
      <c r="X1122" s="146"/>
    </row>
    <row r="1123" spans="1:24" ht="9.75" customHeight="1" x14ac:dyDescent="0.25">
      <c r="A1123" s="288">
        <v>55</v>
      </c>
      <c r="B1123" s="288"/>
      <c r="D1123" s="258" t="s">
        <v>420</v>
      </c>
      <c r="E1123" s="289">
        <v>34400</v>
      </c>
      <c r="F1123" s="289"/>
      <c r="G1123" s="289"/>
      <c r="H1123" s="289"/>
      <c r="I1123" s="290" t="s">
        <v>205</v>
      </c>
      <c r="J1123" s="290"/>
      <c r="K1123" s="290"/>
      <c r="L1123" s="47">
        <v>10</v>
      </c>
      <c r="M1123" s="262">
        <v>665</v>
      </c>
      <c r="N1123" s="47">
        <v>100</v>
      </c>
      <c r="O1123" s="291">
        <v>665</v>
      </c>
      <c r="P1123" s="291"/>
      <c r="Q1123" s="291"/>
      <c r="R1123" s="262">
        <v>0</v>
      </c>
      <c r="S1123" s="262">
        <v>665</v>
      </c>
      <c r="U1123" s="149">
        <f t="shared" ref="U1123:U1139" si="106">E1123+(L1123*365)</f>
        <v>38050</v>
      </c>
      <c r="V1123" s="146">
        <f t="shared" ref="V1123:V1139" si="107">YEARFRAC(E1123,$V$14)</f>
        <v>23.816666666666666</v>
      </c>
      <c r="W1123" s="150">
        <f t="shared" ref="W1123:W1139" si="108">IF(V1123&gt;L1123,0,L1123-V1123)</f>
        <v>0</v>
      </c>
      <c r="X1123" s="146"/>
    </row>
    <row r="1124" spans="1:24" ht="9.75" customHeight="1" x14ac:dyDescent="0.25">
      <c r="A1124" s="288">
        <v>56</v>
      </c>
      <c r="B1124" s="288"/>
      <c r="D1124" s="258" t="s">
        <v>421</v>
      </c>
      <c r="E1124" s="289">
        <v>34425</v>
      </c>
      <c r="F1124" s="289"/>
      <c r="G1124" s="289"/>
      <c r="H1124" s="289"/>
      <c r="I1124" s="290" t="s">
        <v>205</v>
      </c>
      <c r="J1124" s="290"/>
      <c r="K1124" s="290"/>
      <c r="L1124" s="47">
        <v>10</v>
      </c>
      <c r="M1124" s="262">
        <v>1095</v>
      </c>
      <c r="N1124" s="47">
        <v>100</v>
      </c>
      <c r="O1124" s="291">
        <v>1095</v>
      </c>
      <c r="P1124" s="291"/>
      <c r="Q1124" s="291"/>
      <c r="R1124" s="262">
        <v>0</v>
      </c>
      <c r="S1124" s="262">
        <v>1095</v>
      </c>
      <c r="U1124" s="149">
        <f t="shared" si="106"/>
        <v>38075</v>
      </c>
      <c r="V1124" s="146">
        <f t="shared" si="107"/>
        <v>23.75</v>
      </c>
      <c r="W1124" s="150">
        <f t="shared" si="108"/>
        <v>0</v>
      </c>
      <c r="X1124" s="146"/>
    </row>
    <row r="1125" spans="1:24" ht="9.75" customHeight="1" x14ac:dyDescent="0.25">
      <c r="A1125" s="288">
        <v>61</v>
      </c>
      <c r="B1125" s="288"/>
      <c r="D1125" s="258" t="s">
        <v>422</v>
      </c>
      <c r="E1125" s="289">
        <v>34700</v>
      </c>
      <c r="F1125" s="289"/>
      <c r="G1125" s="289"/>
      <c r="H1125" s="289"/>
      <c r="I1125" s="290" t="s">
        <v>205</v>
      </c>
      <c r="J1125" s="290"/>
      <c r="K1125" s="290"/>
      <c r="L1125" s="47">
        <v>10</v>
      </c>
      <c r="M1125" s="262">
        <v>340</v>
      </c>
      <c r="N1125" s="47">
        <v>100</v>
      </c>
      <c r="O1125" s="291">
        <v>340</v>
      </c>
      <c r="P1125" s="291"/>
      <c r="Q1125" s="291"/>
      <c r="R1125" s="262">
        <v>0</v>
      </c>
      <c r="S1125" s="262">
        <v>340</v>
      </c>
      <c r="U1125" s="149">
        <f t="shared" si="106"/>
        <v>38350</v>
      </c>
      <c r="V1125" s="146">
        <f t="shared" si="107"/>
        <v>23</v>
      </c>
      <c r="W1125" s="150">
        <f t="shared" si="108"/>
        <v>0</v>
      </c>
      <c r="X1125" s="146"/>
    </row>
    <row r="1126" spans="1:24" ht="9.75" customHeight="1" x14ac:dyDescent="0.25">
      <c r="A1126" s="288">
        <v>62</v>
      </c>
      <c r="B1126" s="288"/>
      <c r="D1126" s="258" t="s">
        <v>423</v>
      </c>
      <c r="E1126" s="289">
        <v>34790</v>
      </c>
      <c r="F1126" s="289"/>
      <c r="G1126" s="289"/>
      <c r="H1126" s="289"/>
      <c r="I1126" s="290" t="s">
        <v>205</v>
      </c>
      <c r="J1126" s="290"/>
      <c r="K1126" s="290"/>
      <c r="L1126" s="47">
        <v>10</v>
      </c>
      <c r="M1126" s="262">
        <v>1721</v>
      </c>
      <c r="N1126" s="47">
        <v>100</v>
      </c>
      <c r="O1126" s="291">
        <v>1721</v>
      </c>
      <c r="P1126" s="291"/>
      <c r="Q1126" s="291"/>
      <c r="R1126" s="262">
        <v>0</v>
      </c>
      <c r="S1126" s="262">
        <v>1721</v>
      </c>
      <c r="U1126" s="149">
        <f t="shared" si="106"/>
        <v>38440</v>
      </c>
      <c r="V1126" s="146">
        <f t="shared" si="107"/>
        <v>22.75</v>
      </c>
      <c r="W1126" s="150">
        <f t="shared" si="108"/>
        <v>0</v>
      </c>
      <c r="X1126" s="146"/>
    </row>
    <row r="1127" spans="1:24" ht="9.75" customHeight="1" x14ac:dyDescent="0.25">
      <c r="A1127" s="288">
        <v>259</v>
      </c>
      <c r="B1127" s="288"/>
      <c r="D1127" s="258" t="s">
        <v>424</v>
      </c>
      <c r="E1127" s="289">
        <v>36280</v>
      </c>
      <c r="F1127" s="289"/>
      <c r="G1127" s="289"/>
      <c r="H1127" s="289"/>
      <c r="I1127" s="290" t="s">
        <v>205</v>
      </c>
      <c r="J1127" s="290"/>
      <c r="K1127" s="290"/>
      <c r="L1127" s="47">
        <v>10</v>
      </c>
      <c r="M1127" s="262">
        <v>441.76</v>
      </c>
      <c r="N1127" s="47">
        <v>100</v>
      </c>
      <c r="O1127" s="291">
        <v>441.76</v>
      </c>
      <c r="P1127" s="291"/>
      <c r="Q1127" s="291"/>
      <c r="R1127" s="262">
        <v>0</v>
      </c>
      <c r="S1127" s="262">
        <v>441.76</v>
      </c>
      <c r="U1127" s="149">
        <f t="shared" si="106"/>
        <v>39930</v>
      </c>
      <c r="V1127" s="146">
        <f t="shared" si="107"/>
        <v>18.666666666666668</v>
      </c>
      <c r="W1127" s="150">
        <f t="shared" si="108"/>
        <v>0</v>
      </c>
      <c r="X1127" s="146"/>
    </row>
    <row r="1128" spans="1:24" ht="9.75" customHeight="1" x14ac:dyDescent="0.25">
      <c r="A1128" s="288">
        <v>313</v>
      </c>
      <c r="B1128" s="288"/>
      <c r="D1128" s="258" t="s">
        <v>85</v>
      </c>
      <c r="E1128" s="289">
        <v>36738</v>
      </c>
      <c r="F1128" s="289"/>
      <c r="G1128" s="289"/>
      <c r="H1128" s="289"/>
      <c r="I1128" s="290" t="s">
        <v>205</v>
      </c>
      <c r="J1128" s="290"/>
      <c r="K1128" s="290"/>
      <c r="L1128" s="47">
        <v>10</v>
      </c>
      <c r="M1128" s="262">
        <v>620</v>
      </c>
      <c r="N1128" s="47">
        <v>100</v>
      </c>
      <c r="O1128" s="291">
        <v>620</v>
      </c>
      <c r="P1128" s="291"/>
      <c r="Q1128" s="291"/>
      <c r="R1128" s="262">
        <v>0</v>
      </c>
      <c r="S1128" s="262">
        <v>620</v>
      </c>
      <c r="U1128" s="149">
        <f t="shared" si="106"/>
        <v>40388</v>
      </c>
      <c r="V1128" s="146">
        <f t="shared" si="107"/>
        <v>17.416666666666668</v>
      </c>
      <c r="W1128" s="150">
        <f t="shared" si="108"/>
        <v>0</v>
      </c>
      <c r="X1128" s="146"/>
    </row>
    <row r="1129" spans="1:24" ht="9.75" customHeight="1" x14ac:dyDescent="0.25">
      <c r="A1129" s="288">
        <v>333</v>
      </c>
      <c r="B1129" s="288"/>
      <c r="D1129" s="258" t="s">
        <v>85</v>
      </c>
      <c r="E1129" s="289">
        <v>36860</v>
      </c>
      <c r="F1129" s="289"/>
      <c r="G1129" s="289"/>
      <c r="H1129" s="289"/>
      <c r="I1129" s="290" t="s">
        <v>205</v>
      </c>
      <c r="J1129" s="290"/>
      <c r="K1129" s="290"/>
      <c r="L1129" s="47">
        <v>10</v>
      </c>
      <c r="M1129" s="262">
        <v>497.3</v>
      </c>
      <c r="N1129" s="47">
        <v>100</v>
      </c>
      <c r="O1129" s="291">
        <v>497.3</v>
      </c>
      <c r="P1129" s="291"/>
      <c r="Q1129" s="291"/>
      <c r="R1129" s="262">
        <v>0</v>
      </c>
      <c r="S1129" s="262">
        <v>497.3</v>
      </c>
      <c r="U1129" s="149">
        <f t="shared" si="106"/>
        <v>40510</v>
      </c>
      <c r="V1129" s="146">
        <f t="shared" si="107"/>
        <v>17.083333333333332</v>
      </c>
      <c r="W1129" s="150">
        <f t="shared" si="108"/>
        <v>0</v>
      </c>
      <c r="X1129" s="146"/>
    </row>
    <row r="1130" spans="1:24" ht="9.75" customHeight="1" x14ac:dyDescent="0.25">
      <c r="A1130" s="288">
        <v>373</v>
      </c>
      <c r="B1130" s="288"/>
      <c r="D1130" s="258" t="s">
        <v>176</v>
      </c>
      <c r="E1130" s="289">
        <v>37134</v>
      </c>
      <c r="F1130" s="289"/>
      <c r="G1130" s="289"/>
      <c r="H1130" s="289"/>
      <c r="I1130" s="290" t="s">
        <v>205</v>
      </c>
      <c r="J1130" s="290"/>
      <c r="K1130" s="290"/>
      <c r="L1130" s="47">
        <v>10</v>
      </c>
      <c r="M1130" s="262">
        <v>625.03</v>
      </c>
      <c r="N1130" s="47">
        <v>100</v>
      </c>
      <c r="O1130" s="291">
        <v>625.03</v>
      </c>
      <c r="P1130" s="291"/>
      <c r="Q1130" s="291"/>
      <c r="R1130" s="262">
        <v>0</v>
      </c>
      <c r="S1130" s="262">
        <v>625.03</v>
      </c>
      <c r="U1130" s="149">
        <f t="shared" si="106"/>
        <v>40784</v>
      </c>
      <c r="V1130" s="146">
        <f t="shared" si="107"/>
        <v>16.333333333333332</v>
      </c>
      <c r="W1130" s="150">
        <f t="shared" si="108"/>
        <v>0</v>
      </c>
      <c r="X1130" s="146"/>
    </row>
    <row r="1131" spans="1:24" ht="9.75" customHeight="1" x14ac:dyDescent="0.25">
      <c r="A1131" s="288">
        <v>477</v>
      </c>
      <c r="B1131" s="288"/>
      <c r="D1131" s="258" t="s">
        <v>425</v>
      </c>
      <c r="E1131" s="289">
        <v>37750</v>
      </c>
      <c r="F1131" s="289"/>
      <c r="G1131" s="289"/>
      <c r="H1131" s="289"/>
      <c r="I1131" s="290" t="s">
        <v>205</v>
      </c>
      <c r="J1131" s="290"/>
      <c r="K1131" s="290"/>
      <c r="L1131" s="47">
        <v>10</v>
      </c>
      <c r="M1131" s="262">
        <v>2295</v>
      </c>
      <c r="N1131" s="47">
        <v>100</v>
      </c>
      <c r="O1131" s="291">
        <v>2295</v>
      </c>
      <c r="P1131" s="291"/>
      <c r="Q1131" s="291"/>
      <c r="R1131" s="262">
        <v>0</v>
      </c>
      <c r="S1131" s="262">
        <v>2295</v>
      </c>
      <c r="U1131" s="149">
        <f t="shared" si="106"/>
        <v>41400</v>
      </c>
      <c r="V1131" s="146">
        <f t="shared" si="107"/>
        <v>14.644444444444444</v>
      </c>
      <c r="W1131" s="150">
        <f t="shared" si="108"/>
        <v>0</v>
      </c>
      <c r="X1131" s="146"/>
    </row>
    <row r="1132" spans="1:24" ht="9.75" customHeight="1" x14ac:dyDescent="0.25">
      <c r="A1132" s="288">
        <v>485</v>
      </c>
      <c r="B1132" s="288"/>
      <c r="D1132" s="258" t="s">
        <v>425</v>
      </c>
      <c r="E1132" s="289">
        <v>37781</v>
      </c>
      <c r="F1132" s="289"/>
      <c r="G1132" s="289"/>
      <c r="H1132" s="289"/>
      <c r="I1132" s="290" t="s">
        <v>205</v>
      </c>
      <c r="J1132" s="290"/>
      <c r="K1132" s="290"/>
      <c r="L1132" s="47">
        <v>10</v>
      </c>
      <c r="M1132" s="262">
        <v>326</v>
      </c>
      <c r="N1132" s="47">
        <v>100</v>
      </c>
      <c r="O1132" s="291">
        <v>326</v>
      </c>
      <c r="P1132" s="291"/>
      <c r="Q1132" s="291"/>
      <c r="R1132" s="262">
        <v>0</v>
      </c>
      <c r="S1132" s="262">
        <v>326</v>
      </c>
      <c r="U1132" s="149">
        <f t="shared" si="106"/>
        <v>41431</v>
      </c>
      <c r="V1132" s="146">
        <f t="shared" si="107"/>
        <v>14.561111111111112</v>
      </c>
      <c r="W1132" s="150">
        <f t="shared" si="108"/>
        <v>0</v>
      </c>
      <c r="X1132" s="146"/>
    </row>
    <row r="1133" spans="1:24" ht="9.75" customHeight="1" x14ac:dyDescent="0.25">
      <c r="A1133" s="288">
        <v>580</v>
      </c>
      <c r="B1133" s="288"/>
      <c r="D1133" s="258" t="s">
        <v>426</v>
      </c>
      <c r="E1133" s="289">
        <v>38202</v>
      </c>
      <c r="F1133" s="289"/>
      <c r="G1133" s="289"/>
      <c r="H1133" s="289"/>
      <c r="I1133" s="290" t="s">
        <v>205</v>
      </c>
      <c r="J1133" s="290"/>
      <c r="K1133" s="290"/>
      <c r="L1133" s="47">
        <v>10</v>
      </c>
      <c r="M1133" s="262">
        <v>527.41999999999996</v>
      </c>
      <c r="N1133" s="47">
        <v>100</v>
      </c>
      <c r="O1133" s="291">
        <v>527.41999999999996</v>
      </c>
      <c r="P1133" s="291"/>
      <c r="Q1133" s="291"/>
      <c r="R1133" s="262">
        <v>0</v>
      </c>
      <c r="S1133" s="262">
        <v>527.41999999999996</v>
      </c>
      <c r="U1133" s="149">
        <f t="shared" si="106"/>
        <v>41852</v>
      </c>
      <c r="V1133" s="146">
        <f t="shared" si="107"/>
        <v>13.411111111111111</v>
      </c>
      <c r="W1133" s="150">
        <f t="shared" si="108"/>
        <v>0</v>
      </c>
      <c r="X1133" s="146"/>
    </row>
    <row r="1134" spans="1:24" ht="9.75" customHeight="1" x14ac:dyDescent="0.25">
      <c r="A1134" s="288">
        <v>950</v>
      </c>
      <c r="B1134" s="288"/>
      <c r="D1134" s="258" t="s">
        <v>427</v>
      </c>
      <c r="E1134" s="289">
        <v>41037</v>
      </c>
      <c r="F1134" s="289"/>
      <c r="G1134" s="289"/>
      <c r="H1134" s="289"/>
      <c r="I1134" s="290" t="s">
        <v>205</v>
      </c>
      <c r="J1134" s="290"/>
      <c r="K1134" s="290"/>
      <c r="L1134" s="47">
        <v>10</v>
      </c>
      <c r="M1134" s="262">
        <v>212.38</v>
      </c>
      <c r="N1134" s="47">
        <v>100</v>
      </c>
      <c r="O1134" s="291">
        <v>99.12</v>
      </c>
      <c r="P1134" s="291"/>
      <c r="Q1134" s="291"/>
      <c r="R1134" s="262">
        <v>21.240000000000002</v>
      </c>
      <c r="S1134" s="262">
        <v>120.36</v>
      </c>
      <c r="U1134" s="149">
        <f t="shared" si="106"/>
        <v>44687</v>
      </c>
      <c r="V1134" s="146">
        <f t="shared" si="107"/>
        <v>5.6472222222222221</v>
      </c>
      <c r="W1134" s="150">
        <f t="shared" si="108"/>
        <v>4.3527777777777779</v>
      </c>
      <c r="X1134" s="146">
        <f>IF(W1134=0,0,W1134)</f>
        <v>4.3527777777777779</v>
      </c>
    </row>
    <row r="1135" spans="1:24" ht="9.75" customHeight="1" x14ac:dyDescent="0.25">
      <c r="A1135" s="288">
        <v>962</v>
      </c>
      <c r="B1135" s="288"/>
      <c r="D1135" s="258" t="s">
        <v>428</v>
      </c>
      <c r="E1135" s="289">
        <v>41115</v>
      </c>
      <c r="F1135" s="289"/>
      <c r="G1135" s="289"/>
      <c r="H1135" s="289"/>
      <c r="I1135" s="290" t="s">
        <v>205</v>
      </c>
      <c r="J1135" s="290"/>
      <c r="K1135" s="290"/>
      <c r="L1135" s="47">
        <v>10</v>
      </c>
      <c r="M1135" s="262">
        <v>1735.41</v>
      </c>
      <c r="N1135" s="47">
        <v>100</v>
      </c>
      <c r="O1135" s="291">
        <v>766.47</v>
      </c>
      <c r="P1135" s="291"/>
      <c r="Q1135" s="291"/>
      <c r="R1135" s="262">
        <v>173.54</v>
      </c>
      <c r="S1135" s="262">
        <v>940.01</v>
      </c>
      <c r="U1135" s="149">
        <f t="shared" si="106"/>
        <v>44765</v>
      </c>
      <c r="V1135" s="146">
        <f t="shared" si="107"/>
        <v>5.4333333333333336</v>
      </c>
      <c r="W1135" s="150">
        <f t="shared" si="108"/>
        <v>4.5666666666666664</v>
      </c>
      <c r="X1135" s="146">
        <f>IF(W1135=0,0,W1135)</f>
        <v>4.5666666666666664</v>
      </c>
    </row>
    <row r="1136" spans="1:24" ht="9.75" customHeight="1" x14ac:dyDescent="0.25">
      <c r="A1136" s="288">
        <v>1048</v>
      </c>
      <c r="B1136" s="288"/>
      <c r="D1136" s="258" t="s">
        <v>427</v>
      </c>
      <c r="E1136" s="289">
        <v>41790</v>
      </c>
      <c r="F1136" s="289"/>
      <c r="G1136" s="289"/>
      <c r="H1136" s="289"/>
      <c r="I1136" s="290" t="s">
        <v>205</v>
      </c>
      <c r="J1136" s="290"/>
      <c r="K1136" s="290"/>
      <c r="L1136" s="47">
        <v>10</v>
      </c>
      <c r="M1136" s="262">
        <v>4239.2</v>
      </c>
      <c r="N1136" s="47">
        <v>100</v>
      </c>
      <c r="O1136" s="291">
        <v>1095.1300000000001</v>
      </c>
      <c r="P1136" s="291"/>
      <c r="Q1136" s="291"/>
      <c r="R1136" s="262">
        <v>423.92</v>
      </c>
      <c r="S1136" s="262">
        <v>1519.05</v>
      </c>
      <c r="U1136" s="149">
        <f t="shared" si="106"/>
        <v>45440</v>
      </c>
      <c r="V1136" s="146">
        <f t="shared" si="107"/>
        <v>3.5833333333333335</v>
      </c>
      <c r="W1136" s="150">
        <f t="shared" si="108"/>
        <v>6.4166666666666661</v>
      </c>
      <c r="X1136" s="146">
        <f>IF(W1136=0,0,W1136)</f>
        <v>6.4166666666666661</v>
      </c>
    </row>
    <row r="1137" spans="1:24" ht="9.75" customHeight="1" x14ac:dyDescent="0.25">
      <c r="A1137" s="288">
        <v>1053</v>
      </c>
      <c r="B1137" s="288"/>
      <c r="D1137" s="258" t="s">
        <v>427</v>
      </c>
      <c r="E1137" s="289">
        <v>41820</v>
      </c>
      <c r="F1137" s="289"/>
      <c r="G1137" s="289"/>
      <c r="H1137" s="289"/>
      <c r="I1137" s="290" t="s">
        <v>205</v>
      </c>
      <c r="J1137" s="290"/>
      <c r="K1137" s="290"/>
      <c r="L1137" s="47">
        <v>10</v>
      </c>
      <c r="M1137" s="262">
        <v>3721.19</v>
      </c>
      <c r="N1137" s="47">
        <v>100</v>
      </c>
      <c r="O1137" s="291">
        <v>930.30000000000007</v>
      </c>
      <c r="P1137" s="291"/>
      <c r="Q1137" s="291"/>
      <c r="R1137" s="262">
        <v>372.12</v>
      </c>
      <c r="S1137" s="262">
        <v>1302.42</v>
      </c>
      <c r="U1137" s="149">
        <f t="shared" si="106"/>
        <v>45470</v>
      </c>
      <c r="V1137" s="146">
        <f t="shared" si="107"/>
        <v>3.5</v>
      </c>
      <c r="W1137" s="150">
        <f t="shared" si="108"/>
        <v>6.5</v>
      </c>
      <c r="X1137" s="146">
        <f>IF(W1137=0,0,W1137)</f>
        <v>6.5</v>
      </c>
    </row>
    <row r="1138" spans="1:24" ht="9.75" customHeight="1" x14ac:dyDescent="0.25">
      <c r="A1138" s="288">
        <v>1168</v>
      </c>
      <c r="B1138" s="288"/>
      <c r="D1138" s="258" t="s">
        <v>427</v>
      </c>
      <c r="E1138" s="289">
        <v>42978</v>
      </c>
      <c r="F1138" s="289"/>
      <c r="G1138" s="289"/>
      <c r="H1138" s="289"/>
      <c r="I1138" s="290" t="s">
        <v>205</v>
      </c>
      <c r="J1138" s="290"/>
      <c r="K1138" s="290"/>
      <c r="L1138" s="47">
        <v>10</v>
      </c>
      <c r="M1138" s="262">
        <v>12.59</v>
      </c>
      <c r="N1138" s="47">
        <v>100</v>
      </c>
      <c r="O1138" s="291">
        <v>0</v>
      </c>
      <c r="P1138" s="291"/>
      <c r="Q1138" s="291"/>
      <c r="R1138" s="262">
        <v>0.13</v>
      </c>
      <c r="S1138" s="262">
        <v>0.13</v>
      </c>
      <c r="U1138" s="149">
        <f t="shared" si="106"/>
        <v>46628</v>
      </c>
      <c r="V1138" s="146">
        <f t="shared" si="107"/>
        <v>0.33333333333333331</v>
      </c>
      <c r="W1138" s="150">
        <f t="shared" si="108"/>
        <v>9.6666666666666661</v>
      </c>
      <c r="X1138" s="146">
        <f>IF(W1138=0,0,W1138)</f>
        <v>9.6666666666666661</v>
      </c>
    </row>
    <row r="1139" spans="1:24" ht="2.25" customHeight="1" x14ac:dyDescent="0.25">
      <c r="U1139" s="149">
        <f t="shared" si="106"/>
        <v>0</v>
      </c>
      <c r="V1139" s="146">
        <f t="shared" si="107"/>
        <v>118.00277777777778</v>
      </c>
      <c r="W1139" s="150">
        <f t="shared" si="108"/>
        <v>0</v>
      </c>
      <c r="X1139" s="146"/>
    </row>
    <row r="1140" spans="1:24" ht="12" customHeight="1" x14ac:dyDescent="0.25">
      <c r="A1140" s="283" t="s">
        <v>429</v>
      </c>
      <c r="B1140" s="283"/>
      <c r="C1140" s="283"/>
      <c r="D1140" s="283"/>
      <c r="E1140" s="283"/>
      <c r="F1140" s="283"/>
      <c r="G1140" s="283"/>
      <c r="M1140" s="260">
        <v>19074.28</v>
      </c>
      <c r="O1140" s="284">
        <v>12044.53</v>
      </c>
      <c r="P1140" s="284"/>
      <c r="Q1140" s="284"/>
      <c r="R1140" s="260">
        <v>990.95</v>
      </c>
      <c r="S1140" s="260">
        <v>13035.48</v>
      </c>
      <c r="U1140" s="281" t="s">
        <v>208</v>
      </c>
      <c r="V1140" s="282"/>
      <c r="W1140" s="147">
        <f>AVERAGE(W1123:W1138)</f>
        <v>1.9689236111111108</v>
      </c>
      <c r="X1140" s="147">
        <f>AVERAGE(X1123:X1138)</f>
        <v>6.3005555555555546</v>
      </c>
    </row>
    <row r="1141" spans="1:24" ht="14.25" customHeight="1" x14ac:dyDescent="0.25">
      <c r="B1141" s="283" t="s">
        <v>209</v>
      </c>
      <c r="C1141" s="283"/>
      <c r="D1141" s="283"/>
      <c r="E1141" s="283"/>
      <c r="F1141" s="283"/>
      <c r="G1141" s="283"/>
      <c r="H1141" s="283"/>
      <c r="M1141" s="261">
        <v>0</v>
      </c>
      <c r="O1141" s="285">
        <v>0</v>
      </c>
      <c r="P1141" s="285"/>
      <c r="Q1141" s="285"/>
      <c r="R1141" s="261">
        <v>0</v>
      </c>
      <c r="S1141" s="261">
        <v>0</v>
      </c>
      <c r="X1141" s="146"/>
    </row>
    <row r="1142" spans="1:24" ht="9.75" customHeight="1" thickBot="1" x14ac:dyDescent="0.3">
      <c r="A1142" s="283" t="s">
        <v>430</v>
      </c>
      <c r="B1142" s="283"/>
      <c r="C1142" s="283"/>
      <c r="D1142" s="283"/>
      <c r="E1142" s="283"/>
      <c r="F1142" s="283"/>
      <c r="G1142" s="283"/>
      <c r="M1142" s="286">
        <v>19074.28</v>
      </c>
      <c r="O1142" s="286">
        <v>12044.53</v>
      </c>
      <c r="P1142" s="286"/>
      <c r="Q1142" s="286"/>
      <c r="R1142" s="286">
        <v>990.95</v>
      </c>
      <c r="S1142" s="286">
        <v>13035.48</v>
      </c>
      <c r="X1142" s="146"/>
    </row>
    <row r="1143" spans="1:24" ht="6" customHeight="1" thickTop="1" thickBot="1" x14ac:dyDescent="0.3">
      <c r="M1143" s="286"/>
      <c r="O1143" s="286"/>
      <c r="P1143" s="286"/>
      <c r="Q1143" s="286"/>
      <c r="R1143" s="286"/>
      <c r="S1143" s="286"/>
      <c r="X1143" s="146"/>
    </row>
    <row r="1144" spans="1:24" ht="2.25" customHeight="1" thickTop="1" x14ac:dyDescent="0.25">
      <c r="X1144" s="146"/>
    </row>
    <row r="1145" spans="1:24" ht="14.25" customHeight="1" x14ac:dyDescent="0.25">
      <c r="A1145" s="283" t="s">
        <v>177</v>
      </c>
      <c r="B1145" s="283"/>
      <c r="C1145" s="283"/>
      <c r="D1145" s="283"/>
      <c r="E1145" s="283"/>
      <c r="F1145" s="283"/>
      <c r="G1145" s="283"/>
      <c r="H1145" s="283"/>
      <c r="I1145" s="283"/>
      <c r="J1145" s="283"/>
      <c r="K1145" s="283"/>
      <c r="L1145" s="283"/>
      <c r="M1145" s="283"/>
      <c r="N1145" s="283"/>
      <c r="O1145" s="283"/>
      <c r="P1145" s="283"/>
      <c r="Q1145" s="283"/>
      <c r="R1145" s="283"/>
      <c r="S1145" s="283"/>
      <c r="T1145" s="283"/>
      <c r="U1145" s="140" t="s">
        <v>201</v>
      </c>
      <c r="V1145" s="141">
        <v>43100</v>
      </c>
      <c r="W1145" s="140" t="s">
        <v>202</v>
      </c>
      <c r="X1145" s="148" t="s">
        <v>203</v>
      </c>
    </row>
    <row r="1146" spans="1:24" ht="2.25" customHeight="1" x14ac:dyDescent="0.25">
      <c r="W1146" s="142"/>
      <c r="X1146" s="146"/>
    </row>
    <row r="1147" spans="1:24" ht="0.75" customHeight="1" x14ac:dyDescent="0.25">
      <c r="X1147" s="146"/>
    </row>
    <row r="1148" spans="1:24" ht="9.75" customHeight="1" x14ac:dyDescent="0.25">
      <c r="A1148" s="288">
        <v>75</v>
      </c>
      <c r="B1148" s="288"/>
      <c r="D1148" s="258" t="s">
        <v>431</v>
      </c>
      <c r="E1148" s="289">
        <v>25020</v>
      </c>
      <c r="F1148" s="289"/>
      <c r="G1148" s="289"/>
      <c r="H1148" s="289"/>
      <c r="I1148" s="290" t="s">
        <v>205</v>
      </c>
      <c r="J1148" s="290"/>
      <c r="K1148" s="290"/>
      <c r="L1148" s="47">
        <v>33</v>
      </c>
      <c r="M1148" s="262">
        <v>279213</v>
      </c>
      <c r="N1148" s="47">
        <v>100</v>
      </c>
      <c r="O1148" s="291">
        <v>279213</v>
      </c>
      <c r="P1148" s="291"/>
      <c r="Q1148" s="291"/>
      <c r="R1148" s="262">
        <v>0</v>
      </c>
      <c r="S1148" s="262">
        <v>279213</v>
      </c>
      <c r="U1148" s="149">
        <f t="shared" ref="U1148:U1172" si="109">E1148+(L1148*365)</f>
        <v>37065</v>
      </c>
      <c r="V1148" s="146">
        <f t="shared" ref="V1148:V1172" si="110">YEARFRAC(E1148,$V$14)</f>
        <v>49.5</v>
      </c>
      <c r="W1148" s="150">
        <f t="shared" ref="W1148:W1172" si="111">IF(V1148&gt;L1148,0,L1148-V1148)</f>
        <v>0</v>
      </c>
      <c r="X1148" s="146"/>
    </row>
    <row r="1149" spans="1:24" ht="9.75" customHeight="1" x14ac:dyDescent="0.25">
      <c r="A1149" s="288">
        <v>76</v>
      </c>
      <c r="B1149" s="288"/>
      <c r="D1149" s="258" t="s">
        <v>431</v>
      </c>
      <c r="E1149" s="289">
        <v>25385</v>
      </c>
      <c r="F1149" s="289"/>
      <c r="G1149" s="289"/>
      <c r="H1149" s="289"/>
      <c r="I1149" s="290" t="s">
        <v>205</v>
      </c>
      <c r="J1149" s="290"/>
      <c r="K1149" s="290"/>
      <c r="L1149" s="47">
        <v>33</v>
      </c>
      <c r="M1149" s="262">
        <v>31331</v>
      </c>
      <c r="N1149" s="47">
        <v>100</v>
      </c>
      <c r="O1149" s="291">
        <v>31331</v>
      </c>
      <c r="P1149" s="291"/>
      <c r="Q1149" s="291"/>
      <c r="R1149" s="262">
        <v>0</v>
      </c>
      <c r="S1149" s="262">
        <v>31331</v>
      </c>
      <c r="U1149" s="149">
        <f t="shared" si="109"/>
        <v>37430</v>
      </c>
      <c r="V1149" s="146">
        <f t="shared" si="110"/>
        <v>48.5</v>
      </c>
      <c r="W1149" s="150">
        <f t="shared" si="111"/>
        <v>0</v>
      </c>
      <c r="X1149" s="146"/>
    </row>
    <row r="1150" spans="1:24" ht="9.75" customHeight="1" x14ac:dyDescent="0.25">
      <c r="A1150" s="288">
        <v>77</v>
      </c>
      <c r="B1150" s="288"/>
      <c r="D1150" s="258" t="s">
        <v>431</v>
      </c>
      <c r="E1150" s="289">
        <v>25750</v>
      </c>
      <c r="F1150" s="289"/>
      <c r="G1150" s="289"/>
      <c r="H1150" s="289"/>
      <c r="I1150" s="290" t="s">
        <v>205</v>
      </c>
      <c r="J1150" s="290"/>
      <c r="K1150" s="290"/>
      <c r="L1150" s="47">
        <v>33</v>
      </c>
      <c r="M1150" s="262">
        <v>38648</v>
      </c>
      <c r="N1150" s="47">
        <v>100</v>
      </c>
      <c r="O1150" s="291">
        <v>38648</v>
      </c>
      <c r="P1150" s="291"/>
      <c r="Q1150" s="291"/>
      <c r="R1150" s="262">
        <v>0</v>
      </c>
      <c r="S1150" s="262">
        <v>38648</v>
      </c>
      <c r="U1150" s="149">
        <f t="shared" si="109"/>
        <v>37795</v>
      </c>
      <c r="V1150" s="146">
        <f t="shared" si="110"/>
        <v>47.5</v>
      </c>
      <c r="W1150" s="150">
        <f t="shared" si="111"/>
        <v>0</v>
      </c>
      <c r="X1150" s="146"/>
    </row>
    <row r="1151" spans="1:24" ht="9.75" customHeight="1" x14ac:dyDescent="0.25">
      <c r="A1151" s="288">
        <v>78</v>
      </c>
      <c r="B1151" s="288"/>
      <c r="D1151" s="258" t="s">
        <v>431</v>
      </c>
      <c r="E1151" s="289">
        <v>26481</v>
      </c>
      <c r="F1151" s="289"/>
      <c r="G1151" s="289"/>
      <c r="H1151" s="289"/>
      <c r="I1151" s="290" t="s">
        <v>205</v>
      </c>
      <c r="J1151" s="290"/>
      <c r="K1151" s="290"/>
      <c r="L1151" s="47">
        <v>33</v>
      </c>
      <c r="M1151" s="262">
        <v>25939</v>
      </c>
      <c r="N1151" s="47">
        <v>100</v>
      </c>
      <c r="O1151" s="291">
        <v>25939</v>
      </c>
      <c r="P1151" s="291"/>
      <c r="Q1151" s="291"/>
      <c r="R1151" s="262">
        <v>0</v>
      </c>
      <c r="S1151" s="262">
        <v>25939</v>
      </c>
      <c r="U1151" s="149">
        <f t="shared" si="109"/>
        <v>38526</v>
      </c>
      <c r="V1151" s="146">
        <f t="shared" si="110"/>
        <v>45.5</v>
      </c>
      <c r="W1151" s="150">
        <f t="shared" si="111"/>
        <v>0</v>
      </c>
      <c r="X1151" s="146"/>
    </row>
    <row r="1152" spans="1:24" ht="9.75" customHeight="1" x14ac:dyDescent="0.25">
      <c r="A1152" s="288">
        <v>79</v>
      </c>
      <c r="B1152" s="288"/>
      <c r="D1152" s="258" t="s">
        <v>431</v>
      </c>
      <c r="E1152" s="289">
        <v>26846</v>
      </c>
      <c r="F1152" s="289"/>
      <c r="G1152" s="289"/>
      <c r="H1152" s="289"/>
      <c r="I1152" s="290" t="s">
        <v>205</v>
      </c>
      <c r="J1152" s="290"/>
      <c r="K1152" s="290"/>
      <c r="L1152" s="47">
        <v>33</v>
      </c>
      <c r="M1152" s="262">
        <v>12524</v>
      </c>
      <c r="N1152" s="47">
        <v>100</v>
      </c>
      <c r="O1152" s="291">
        <v>12524</v>
      </c>
      <c r="P1152" s="291"/>
      <c r="Q1152" s="291"/>
      <c r="R1152" s="262">
        <v>0</v>
      </c>
      <c r="S1152" s="262">
        <v>12524</v>
      </c>
      <c r="U1152" s="149">
        <f t="shared" si="109"/>
        <v>38891</v>
      </c>
      <c r="V1152" s="146">
        <f t="shared" si="110"/>
        <v>44.5</v>
      </c>
      <c r="W1152" s="150">
        <f t="shared" si="111"/>
        <v>0</v>
      </c>
      <c r="X1152" s="146"/>
    </row>
    <row r="1153" spans="1:24" ht="9.75" customHeight="1" x14ac:dyDescent="0.25">
      <c r="A1153" s="288">
        <v>80</v>
      </c>
      <c r="B1153" s="288"/>
      <c r="D1153" s="258" t="s">
        <v>431</v>
      </c>
      <c r="E1153" s="289">
        <v>27211</v>
      </c>
      <c r="F1153" s="289"/>
      <c r="G1153" s="289"/>
      <c r="H1153" s="289"/>
      <c r="I1153" s="290" t="s">
        <v>205</v>
      </c>
      <c r="J1153" s="290"/>
      <c r="K1153" s="290"/>
      <c r="L1153" s="47">
        <v>33</v>
      </c>
      <c r="M1153" s="262">
        <v>7501</v>
      </c>
      <c r="N1153" s="47">
        <v>100</v>
      </c>
      <c r="O1153" s="291">
        <v>7501</v>
      </c>
      <c r="P1153" s="291"/>
      <c r="Q1153" s="291"/>
      <c r="R1153" s="262">
        <v>0</v>
      </c>
      <c r="S1153" s="262">
        <v>7501</v>
      </c>
      <c r="U1153" s="149">
        <f t="shared" si="109"/>
        <v>39256</v>
      </c>
      <c r="V1153" s="146">
        <f t="shared" si="110"/>
        <v>43.5</v>
      </c>
      <c r="W1153" s="150">
        <f t="shared" si="111"/>
        <v>0</v>
      </c>
      <c r="X1153" s="146"/>
    </row>
    <row r="1154" spans="1:24" ht="9.75" customHeight="1" x14ac:dyDescent="0.25">
      <c r="A1154" s="288">
        <v>81</v>
      </c>
      <c r="B1154" s="288"/>
      <c r="D1154" s="258" t="s">
        <v>431</v>
      </c>
      <c r="E1154" s="289">
        <v>27576</v>
      </c>
      <c r="F1154" s="289"/>
      <c r="G1154" s="289"/>
      <c r="H1154" s="289"/>
      <c r="I1154" s="290" t="s">
        <v>205</v>
      </c>
      <c r="J1154" s="290"/>
      <c r="K1154" s="290"/>
      <c r="L1154" s="47">
        <v>33</v>
      </c>
      <c r="M1154" s="262">
        <v>8300</v>
      </c>
      <c r="N1154" s="47">
        <v>100</v>
      </c>
      <c r="O1154" s="291">
        <v>8300</v>
      </c>
      <c r="P1154" s="291"/>
      <c r="Q1154" s="291"/>
      <c r="R1154" s="262">
        <v>0</v>
      </c>
      <c r="S1154" s="262">
        <v>8300</v>
      </c>
      <c r="U1154" s="149">
        <f t="shared" si="109"/>
        <v>39621</v>
      </c>
      <c r="V1154" s="146">
        <f t="shared" si="110"/>
        <v>42.5</v>
      </c>
      <c r="W1154" s="150">
        <f t="shared" si="111"/>
        <v>0</v>
      </c>
      <c r="X1154" s="146"/>
    </row>
    <row r="1155" spans="1:24" ht="9.75" customHeight="1" x14ac:dyDescent="0.25">
      <c r="A1155" s="288">
        <v>82</v>
      </c>
      <c r="B1155" s="288"/>
      <c r="D1155" s="258" t="s">
        <v>432</v>
      </c>
      <c r="E1155" s="289">
        <v>27942</v>
      </c>
      <c r="F1155" s="289"/>
      <c r="G1155" s="289"/>
      <c r="H1155" s="289"/>
      <c r="I1155" s="290" t="s">
        <v>205</v>
      </c>
      <c r="J1155" s="290"/>
      <c r="K1155" s="290"/>
      <c r="L1155" s="47">
        <v>33</v>
      </c>
      <c r="M1155" s="262">
        <v>3035</v>
      </c>
      <c r="N1155" s="47">
        <v>100</v>
      </c>
      <c r="O1155" s="291">
        <v>3035</v>
      </c>
      <c r="P1155" s="291"/>
      <c r="Q1155" s="291"/>
      <c r="R1155" s="262">
        <v>0</v>
      </c>
      <c r="S1155" s="262">
        <v>3035</v>
      </c>
      <c r="U1155" s="149">
        <f t="shared" si="109"/>
        <v>39987</v>
      </c>
      <c r="V1155" s="146">
        <f t="shared" si="110"/>
        <v>41.5</v>
      </c>
      <c r="W1155" s="150">
        <f t="shared" si="111"/>
        <v>0</v>
      </c>
      <c r="X1155" s="146"/>
    </row>
    <row r="1156" spans="1:24" ht="9.75" customHeight="1" x14ac:dyDescent="0.25">
      <c r="A1156" s="288">
        <v>83</v>
      </c>
      <c r="B1156" s="288"/>
      <c r="D1156" s="258" t="s">
        <v>431</v>
      </c>
      <c r="E1156" s="289">
        <v>28307</v>
      </c>
      <c r="F1156" s="289"/>
      <c r="G1156" s="289"/>
      <c r="H1156" s="289"/>
      <c r="I1156" s="290" t="s">
        <v>205</v>
      </c>
      <c r="J1156" s="290"/>
      <c r="K1156" s="290"/>
      <c r="L1156" s="47">
        <v>33</v>
      </c>
      <c r="M1156" s="262">
        <v>3994</v>
      </c>
      <c r="N1156" s="47">
        <v>100</v>
      </c>
      <c r="O1156" s="291">
        <v>3994</v>
      </c>
      <c r="P1156" s="291"/>
      <c r="Q1156" s="291"/>
      <c r="R1156" s="262">
        <v>0</v>
      </c>
      <c r="S1156" s="262">
        <v>3994</v>
      </c>
      <c r="U1156" s="149">
        <f t="shared" si="109"/>
        <v>40352</v>
      </c>
      <c r="V1156" s="146">
        <f t="shared" si="110"/>
        <v>40.5</v>
      </c>
      <c r="W1156" s="150">
        <f t="shared" si="111"/>
        <v>0</v>
      </c>
      <c r="X1156" s="146"/>
    </row>
    <row r="1157" spans="1:24" ht="9.75" customHeight="1" x14ac:dyDescent="0.25">
      <c r="A1157" s="288">
        <v>84</v>
      </c>
      <c r="B1157" s="288"/>
      <c r="D1157" s="258" t="s">
        <v>431</v>
      </c>
      <c r="E1157" s="289">
        <v>28672</v>
      </c>
      <c r="F1157" s="289"/>
      <c r="G1157" s="289"/>
      <c r="H1157" s="289"/>
      <c r="I1157" s="290" t="s">
        <v>205</v>
      </c>
      <c r="J1157" s="290"/>
      <c r="K1157" s="290"/>
      <c r="L1157" s="47">
        <v>33</v>
      </c>
      <c r="M1157" s="262">
        <v>4326</v>
      </c>
      <c r="N1157" s="47">
        <v>100</v>
      </c>
      <c r="O1157" s="291">
        <v>4326</v>
      </c>
      <c r="P1157" s="291"/>
      <c r="Q1157" s="291"/>
      <c r="R1157" s="262">
        <v>0</v>
      </c>
      <c r="S1157" s="262">
        <v>4326</v>
      </c>
      <c r="U1157" s="149">
        <f t="shared" si="109"/>
        <v>40717</v>
      </c>
      <c r="V1157" s="146">
        <f t="shared" si="110"/>
        <v>39.5</v>
      </c>
      <c r="W1157" s="150">
        <f t="shared" si="111"/>
        <v>0</v>
      </c>
      <c r="X1157" s="146"/>
    </row>
    <row r="1158" spans="1:24" ht="9.75" customHeight="1" x14ac:dyDescent="0.25">
      <c r="A1158" s="288">
        <v>85</v>
      </c>
      <c r="B1158" s="288"/>
      <c r="D1158" s="258" t="s">
        <v>431</v>
      </c>
      <c r="E1158" s="289">
        <v>29037</v>
      </c>
      <c r="F1158" s="289"/>
      <c r="G1158" s="289"/>
      <c r="H1158" s="289"/>
      <c r="I1158" s="290" t="s">
        <v>205</v>
      </c>
      <c r="J1158" s="290"/>
      <c r="K1158" s="290"/>
      <c r="L1158" s="47">
        <v>33</v>
      </c>
      <c r="M1158" s="262">
        <v>6468</v>
      </c>
      <c r="N1158" s="47">
        <v>100</v>
      </c>
      <c r="O1158" s="291">
        <v>6468</v>
      </c>
      <c r="P1158" s="291"/>
      <c r="Q1158" s="291"/>
      <c r="R1158" s="262">
        <v>0</v>
      </c>
      <c r="S1158" s="262">
        <v>6468</v>
      </c>
      <c r="U1158" s="149">
        <f t="shared" si="109"/>
        <v>41082</v>
      </c>
      <c r="V1158" s="146">
        <f t="shared" si="110"/>
        <v>38.5</v>
      </c>
      <c r="W1158" s="150">
        <f t="shared" si="111"/>
        <v>0</v>
      </c>
      <c r="X1158" s="146"/>
    </row>
    <row r="1159" spans="1:24" ht="9.75" customHeight="1" x14ac:dyDescent="0.25">
      <c r="A1159" s="288">
        <v>86</v>
      </c>
      <c r="B1159" s="288"/>
      <c r="D1159" s="258" t="s">
        <v>431</v>
      </c>
      <c r="E1159" s="289">
        <v>29403</v>
      </c>
      <c r="F1159" s="289"/>
      <c r="G1159" s="289"/>
      <c r="H1159" s="289"/>
      <c r="I1159" s="290" t="s">
        <v>205</v>
      </c>
      <c r="J1159" s="290"/>
      <c r="K1159" s="290"/>
      <c r="L1159" s="47">
        <v>33</v>
      </c>
      <c r="M1159" s="262">
        <v>19676</v>
      </c>
      <c r="N1159" s="47">
        <v>100</v>
      </c>
      <c r="O1159" s="291">
        <v>19676</v>
      </c>
      <c r="P1159" s="291"/>
      <c r="Q1159" s="291"/>
      <c r="R1159" s="262">
        <v>0</v>
      </c>
      <c r="S1159" s="262">
        <v>19676</v>
      </c>
      <c r="U1159" s="149">
        <f t="shared" si="109"/>
        <v>41448</v>
      </c>
      <c r="V1159" s="146">
        <f t="shared" si="110"/>
        <v>37.5</v>
      </c>
      <c r="W1159" s="150">
        <f t="shared" si="111"/>
        <v>0</v>
      </c>
      <c r="X1159" s="146"/>
    </row>
    <row r="1160" spans="1:24" ht="9.75" customHeight="1" x14ac:dyDescent="0.25">
      <c r="A1160" s="288">
        <v>87</v>
      </c>
      <c r="B1160" s="288"/>
      <c r="D1160" s="258" t="s">
        <v>431</v>
      </c>
      <c r="E1160" s="289">
        <v>29403</v>
      </c>
      <c r="F1160" s="289"/>
      <c r="G1160" s="289"/>
      <c r="H1160" s="289"/>
      <c r="I1160" s="290" t="s">
        <v>205</v>
      </c>
      <c r="J1160" s="290"/>
      <c r="K1160" s="290"/>
      <c r="L1160" s="47">
        <v>33</v>
      </c>
      <c r="M1160" s="262">
        <v>570</v>
      </c>
      <c r="N1160" s="47">
        <v>100</v>
      </c>
      <c r="O1160" s="291">
        <v>570</v>
      </c>
      <c r="P1160" s="291"/>
      <c r="Q1160" s="291"/>
      <c r="R1160" s="262">
        <v>0</v>
      </c>
      <c r="S1160" s="262">
        <v>570</v>
      </c>
      <c r="U1160" s="149">
        <f t="shared" si="109"/>
        <v>41448</v>
      </c>
      <c r="V1160" s="146">
        <f t="shared" si="110"/>
        <v>37.5</v>
      </c>
      <c r="W1160" s="150">
        <f t="shared" si="111"/>
        <v>0</v>
      </c>
      <c r="X1160" s="146"/>
    </row>
    <row r="1161" spans="1:24" ht="9.75" customHeight="1" x14ac:dyDescent="0.25">
      <c r="A1161" s="288">
        <v>88</v>
      </c>
      <c r="B1161" s="288"/>
      <c r="D1161" s="258" t="s">
        <v>431</v>
      </c>
      <c r="E1161" s="289">
        <v>30498</v>
      </c>
      <c r="F1161" s="289"/>
      <c r="G1161" s="289"/>
      <c r="H1161" s="289"/>
      <c r="I1161" s="290" t="s">
        <v>205</v>
      </c>
      <c r="J1161" s="290"/>
      <c r="K1161" s="290"/>
      <c r="L1161" s="47">
        <v>33</v>
      </c>
      <c r="M1161" s="262">
        <v>350</v>
      </c>
      <c r="N1161" s="47">
        <v>100</v>
      </c>
      <c r="O1161" s="291">
        <v>350</v>
      </c>
      <c r="P1161" s="291"/>
      <c r="Q1161" s="291"/>
      <c r="R1161" s="262">
        <v>0</v>
      </c>
      <c r="S1161" s="262">
        <v>350</v>
      </c>
      <c r="U1161" s="149">
        <f t="shared" si="109"/>
        <v>42543</v>
      </c>
      <c r="V1161" s="146">
        <f t="shared" si="110"/>
        <v>34.5</v>
      </c>
      <c r="W1161" s="150">
        <f t="shared" si="111"/>
        <v>0</v>
      </c>
      <c r="X1161" s="146"/>
    </row>
    <row r="1162" spans="1:24" ht="9.75" customHeight="1" x14ac:dyDescent="0.25">
      <c r="A1162" s="288">
        <v>89</v>
      </c>
      <c r="B1162" s="288"/>
      <c r="D1162" s="258" t="s">
        <v>431</v>
      </c>
      <c r="E1162" s="289">
        <v>31594</v>
      </c>
      <c r="F1162" s="289"/>
      <c r="G1162" s="289"/>
      <c r="H1162" s="289"/>
      <c r="I1162" s="290" t="s">
        <v>205</v>
      </c>
      <c r="J1162" s="290"/>
      <c r="K1162" s="290"/>
      <c r="L1162" s="47">
        <v>33</v>
      </c>
      <c r="M1162" s="262">
        <v>129173</v>
      </c>
      <c r="N1162" s="47">
        <v>100</v>
      </c>
      <c r="O1162" s="291">
        <v>80800.86</v>
      </c>
      <c r="P1162" s="291"/>
      <c r="Q1162" s="291"/>
      <c r="R1162" s="262">
        <v>3914.33</v>
      </c>
      <c r="S1162" s="262">
        <v>84715.19</v>
      </c>
      <c r="U1162" s="149">
        <f t="shared" si="109"/>
        <v>43639</v>
      </c>
      <c r="V1162" s="146">
        <f t="shared" si="110"/>
        <v>31.5</v>
      </c>
      <c r="W1162" s="150">
        <f t="shared" si="111"/>
        <v>1.5</v>
      </c>
      <c r="X1162" s="146">
        <f t="shared" ref="X1162" si="112">IF(W1162=0,0,W1162)</f>
        <v>1.5</v>
      </c>
    </row>
    <row r="1163" spans="1:24" ht="9.75" customHeight="1" x14ac:dyDescent="0.25">
      <c r="A1163" s="288">
        <v>90</v>
      </c>
      <c r="B1163" s="288"/>
      <c r="D1163" s="258" t="s">
        <v>431</v>
      </c>
      <c r="E1163" s="289">
        <v>29768</v>
      </c>
      <c r="F1163" s="289"/>
      <c r="G1163" s="289"/>
      <c r="H1163" s="289"/>
      <c r="I1163" s="290" t="s">
        <v>205</v>
      </c>
      <c r="J1163" s="290"/>
      <c r="K1163" s="290"/>
      <c r="L1163" s="47">
        <v>33</v>
      </c>
      <c r="M1163" s="262">
        <v>24965</v>
      </c>
      <c r="N1163" s="47">
        <v>100</v>
      </c>
      <c r="O1163" s="291">
        <v>24965</v>
      </c>
      <c r="P1163" s="291"/>
      <c r="Q1163" s="291"/>
      <c r="R1163" s="262">
        <v>0</v>
      </c>
      <c r="S1163" s="262">
        <v>24965</v>
      </c>
      <c r="U1163" s="149">
        <f t="shared" si="109"/>
        <v>41813</v>
      </c>
      <c r="V1163" s="146">
        <f t="shared" si="110"/>
        <v>36.5</v>
      </c>
      <c r="W1163" s="150">
        <f t="shared" si="111"/>
        <v>0</v>
      </c>
      <c r="X1163" s="146"/>
    </row>
    <row r="1164" spans="1:24" ht="9.75" customHeight="1" x14ac:dyDescent="0.25">
      <c r="A1164" s="288">
        <v>93</v>
      </c>
      <c r="B1164" s="288"/>
      <c r="D1164" s="258" t="s">
        <v>431</v>
      </c>
      <c r="E1164" s="289">
        <v>26115</v>
      </c>
      <c r="F1164" s="289"/>
      <c r="G1164" s="289"/>
      <c r="H1164" s="289"/>
      <c r="I1164" s="290" t="s">
        <v>205</v>
      </c>
      <c r="J1164" s="290"/>
      <c r="K1164" s="290"/>
      <c r="L1164" s="47">
        <v>33.4</v>
      </c>
      <c r="M1164" s="262">
        <v>39160</v>
      </c>
      <c r="N1164" s="47">
        <v>100</v>
      </c>
      <c r="O1164" s="291">
        <v>39160</v>
      </c>
      <c r="P1164" s="291"/>
      <c r="Q1164" s="291"/>
      <c r="R1164" s="262">
        <v>0</v>
      </c>
      <c r="S1164" s="262">
        <v>39160</v>
      </c>
      <c r="U1164" s="149">
        <f t="shared" si="109"/>
        <v>38306</v>
      </c>
      <c r="V1164" s="146">
        <f t="shared" si="110"/>
        <v>46.5</v>
      </c>
      <c r="W1164" s="150">
        <f t="shared" si="111"/>
        <v>0</v>
      </c>
      <c r="X1164" s="146"/>
    </row>
    <row r="1165" spans="1:24" ht="9.75" customHeight="1" x14ac:dyDescent="0.25">
      <c r="A1165" s="288">
        <v>238</v>
      </c>
      <c r="B1165" s="288"/>
      <c r="D1165" s="258" t="s">
        <v>433</v>
      </c>
      <c r="E1165" s="289">
        <v>35520</v>
      </c>
      <c r="F1165" s="289"/>
      <c r="G1165" s="289"/>
      <c r="H1165" s="289"/>
      <c r="I1165" s="290" t="s">
        <v>205</v>
      </c>
      <c r="J1165" s="290"/>
      <c r="K1165" s="290"/>
      <c r="L1165" s="47">
        <v>33</v>
      </c>
      <c r="M1165" s="262">
        <v>7305</v>
      </c>
      <c r="N1165" s="47">
        <v>100</v>
      </c>
      <c r="O1165" s="291">
        <v>4390.3100000000004</v>
      </c>
      <c r="P1165" s="291"/>
      <c r="Q1165" s="291"/>
      <c r="R1165" s="262">
        <v>221.36</v>
      </c>
      <c r="S1165" s="262">
        <v>4611.67</v>
      </c>
      <c r="U1165" s="149">
        <f t="shared" si="109"/>
        <v>47565</v>
      </c>
      <c r="V1165" s="146">
        <f t="shared" si="110"/>
        <v>20.75</v>
      </c>
      <c r="W1165" s="150">
        <f t="shared" si="111"/>
        <v>12.25</v>
      </c>
      <c r="X1165" s="146">
        <f t="shared" ref="X1165:X1172" si="113">IF(W1165=0,0,W1165)</f>
        <v>12.25</v>
      </c>
    </row>
    <row r="1166" spans="1:24" ht="9.75" customHeight="1" x14ac:dyDescent="0.25">
      <c r="A1166" s="288">
        <v>239</v>
      </c>
      <c r="B1166" s="288"/>
      <c r="D1166" s="258" t="s">
        <v>434</v>
      </c>
      <c r="E1166" s="289">
        <v>35611</v>
      </c>
      <c r="F1166" s="289"/>
      <c r="G1166" s="289"/>
      <c r="H1166" s="289"/>
      <c r="I1166" s="290" t="s">
        <v>205</v>
      </c>
      <c r="J1166" s="290"/>
      <c r="K1166" s="290"/>
      <c r="L1166" s="47">
        <v>33</v>
      </c>
      <c r="M1166" s="262">
        <v>12580</v>
      </c>
      <c r="N1166" s="47">
        <v>100</v>
      </c>
      <c r="O1166" s="291">
        <v>7465.3600000000006</v>
      </c>
      <c r="P1166" s="291"/>
      <c r="Q1166" s="291"/>
      <c r="R1166" s="262">
        <v>381.21</v>
      </c>
      <c r="S1166" s="262">
        <v>7846.57</v>
      </c>
      <c r="U1166" s="149">
        <f t="shared" si="109"/>
        <v>47656</v>
      </c>
      <c r="V1166" s="146">
        <f t="shared" si="110"/>
        <v>20.5</v>
      </c>
      <c r="W1166" s="150">
        <f t="shared" si="111"/>
        <v>12.5</v>
      </c>
      <c r="X1166" s="146">
        <f t="shared" si="113"/>
        <v>12.5</v>
      </c>
    </row>
    <row r="1167" spans="1:24" ht="9.75" customHeight="1" x14ac:dyDescent="0.25">
      <c r="A1167" s="288">
        <v>240</v>
      </c>
      <c r="B1167" s="288"/>
      <c r="D1167" s="258" t="s">
        <v>435</v>
      </c>
      <c r="E1167" s="289">
        <v>35703</v>
      </c>
      <c r="F1167" s="289"/>
      <c r="G1167" s="289"/>
      <c r="H1167" s="289"/>
      <c r="I1167" s="290" t="s">
        <v>205</v>
      </c>
      <c r="J1167" s="290"/>
      <c r="K1167" s="290"/>
      <c r="L1167" s="47">
        <v>33</v>
      </c>
      <c r="M1167" s="262">
        <v>82429</v>
      </c>
      <c r="N1167" s="47">
        <v>100</v>
      </c>
      <c r="O1167" s="291">
        <v>48291.770000000004</v>
      </c>
      <c r="P1167" s="291"/>
      <c r="Q1167" s="291"/>
      <c r="R1167" s="262">
        <v>2497.85</v>
      </c>
      <c r="S1167" s="262">
        <v>50789.62</v>
      </c>
      <c r="U1167" s="149">
        <f t="shared" si="109"/>
        <v>47748</v>
      </c>
      <c r="V1167" s="146">
        <f t="shared" si="110"/>
        <v>20.25</v>
      </c>
      <c r="W1167" s="150">
        <f t="shared" si="111"/>
        <v>12.75</v>
      </c>
      <c r="X1167" s="146">
        <f t="shared" si="113"/>
        <v>12.75</v>
      </c>
    </row>
    <row r="1168" spans="1:24" ht="9.75" customHeight="1" x14ac:dyDescent="0.25">
      <c r="A1168" s="288">
        <v>241</v>
      </c>
      <c r="B1168" s="288"/>
      <c r="D1168" s="258" t="s">
        <v>436</v>
      </c>
      <c r="E1168" s="289">
        <v>35795</v>
      </c>
      <c r="F1168" s="289"/>
      <c r="G1168" s="289"/>
      <c r="H1168" s="289"/>
      <c r="I1168" s="290" t="s">
        <v>205</v>
      </c>
      <c r="J1168" s="290"/>
      <c r="K1168" s="290"/>
      <c r="L1168" s="47">
        <v>33</v>
      </c>
      <c r="M1168" s="262">
        <v>54342</v>
      </c>
      <c r="N1168" s="47">
        <v>100</v>
      </c>
      <c r="O1168" s="291">
        <v>48834.18</v>
      </c>
      <c r="P1168" s="291"/>
      <c r="Q1168" s="291"/>
      <c r="R1168" s="262">
        <v>1646.73</v>
      </c>
      <c r="S1168" s="262">
        <v>50480.91</v>
      </c>
      <c r="U1168" s="149">
        <f t="shared" si="109"/>
        <v>47840</v>
      </c>
      <c r="V1168" s="146">
        <f t="shared" si="110"/>
        <v>20</v>
      </c>
      <c r="W1168" s="150">
        <f t="shared" si="111"/>
        <v>13</v>
      </c>
      <c r="X1168" s="146">
        <f t="shared" si="113"/>
        <v>13</v>
      </c>
    </row>
    <row r="1169" spans="1:24" ht="9.75" customHeight="1" x14ac:dyDescent="0.25">
      <c r="A1169" s="288">
        <v>242</v>
      </c>
      <c r="B1169" s="288"/>
      <c r="D1169" s="258" t="s">
        <v>437</v>
      </c>
      <c r="E1169" s="289">
        <v>35885</v>
      </c>
      <c r="F1169" s="289"/>
      <c r="G1169" s="289"/>
      <c r="H1169" s="289"/>
      <c r="I1169" s="290" t="s">
        <v>205</v>
      </c>
      <c r="J1169" s="290"/>
      <c r="K1169" s="290"/>
      <c r="L1169" s="47">
        <v>33</v>
      </c>
      <c r="M1169" s="262">
        <v>7210</v>
      </c>
      <c r="N1169" s="47">
        <v>100</v>
      </c>
      <c r="O1169" s="291">
        <v>7210</v>
      </c>
      <c r="P1169" s="291"/>
      <c r="Q1169" s="291"/>
      <c r="R1169" s="262">
        <v>0</v>
      </c>
      <c r="S1169" s="262">
        <v>7210</v>
      </c>
      <c r="U1169" s="149">
        <f t="shared" si="109"/>
        <v>47930</v>
      </c>
      <c r="V1169" s="146">
        <f t="shared" si="110"/>
        <v>19.75</v>
      </c>
      <c r="W1169" s="150">
        <f t="shared" si="111"/>
        <v>13.25</v>
      </c>
      <c r="X1169" s="146">
        <f t="shared" si="113"/>
        <v>13.25</v>
      </c>
    </row>
    <row r="1170" spans="1:24" ht="9.75" customHeight="1" x14ac:dyDescent="0.25">
      <c r="A1170" s="288">
        <v>243</v>
      </c>
      <c r="B1170" s="288"/>
      <c r="D1170" s="258" t="s">
        <v>438</v>
      </c>
      <c r="E1170" s="289">
        <v>35976</v>
      </c>
      <c r="F1170" s="289"/>
      <c r="G1170" s="289"/>
      <c r="H1170" s="289"/>
      <c r="I1170" s="290" t="s">
        <v>205</v>
      </c>
      <c r="J1170" s="290"/>
      <c r="K1170" s="290"/>
      <c r="L1170" s="47">
        <v>33</v>
      </c>
      <c r="M1170" s="262">
        <v>8163</v>
      </c>
      <c r="N1170" s="47">
        <v>100</v>
      </c>
      <c r="O1170" s="291">
        <v>8163</v>
      </c>
      <c r="P1170" s="291"/>
      <c r="Q1170" s="291"/>
      <c r="R1170" s="262">
        <v>0</v>
      </c>
      <c r="S1170" s="262">
        <v>8163</v>
      </c>
      <c r="U1170" s="149">
        <f t="shared" si="109"/>
        <v>48021</v>
      </c>
      <c r="V1170" s="146">
        <f t="shared" si="110"/>
        <v>19.5</v>
      </c>
      <c r="W1170" s="150">
        <f t="shared" si="111"/>
        <v>13.5</v>
      </c>
      <c r="X1170" s="146">
        <f t="shared" si="113"/>
        <v>13.5</v>
      </c>
    </row>
    <row r="1171" spans="1:24" ht="9.75" customHeight="1" x14ac:dyDescent="0.25">
      <c r="A1171" s="288">
        <v>244</v>
      </c>
      <c r="B1171" s="288"/>
      <c r="D1171" s="258" t="s">
        <v>439</v>
      </c>
      <c r="E1171" s="289">
        <v>36068</v>
      </c>
      <c r="F1171" s="289"/>
      <c r="G1171" s="289"/>
      <c r="H1171" s="289"/>
      <c r="I1171" s="290" t="s">
        <v>205</v>
      </c>
      <c r="J1171" s="290"/>
      <c r="K1171" s="290"/>
      <c r="L1171" s="47">
        <v>33</v>
      </c>
      <c r="M1171" s="262">
        <v>27827</v>
      </c>
      <c r="N1171" s="47">
        <v>100</v>
      </c>
      <c r="O1171" s="291">
        <v>27827</v>
      </c>
      <c r="P1171" s="291"/>
      <c r="Q1171" s="291"/>
      <c r="R1171" s="262">
        <v>0</v>
      </c>
      <c r="S1171" s="262">
        <v>27827</v>
      </c>
      <c r="U1171" s="149">
        <f t="shared" si="109"/>
        <v>48113</v>
      </c>
      <c r="V1171" s="146">
        <f t="shared" si="110"/>
        <v>19.25</v>
      </c>
      <c r="W1171" s="150">
        <f t="shared" si="111"/>
        <v>13.75</v>
      </c>
      <c r="X1171" s="146">
        <f t="shared" si="113"/>
        <v>13.75</v>
      </c>
    </row>
    <row r="1172" spans="1:24" ht="9.75" customHeight="1" x14ac:dyDescent="0.25">
      <c r="A1172" s="288">
        <v>245</v>
      </c>
      <c r="B1172" s="288"/>
      <c r="D1172" s="258" t="s">
        <v>440</v>
      </c>
      <c r="E1172" s="289">
        <v>36160</v>
      </c>
      <c r="F1172" s="289"/>
      <c r="G1172" s="289"/>
      <c r="H1172" s="289"/>
      <c r="I1172" s="290" t="s">
        <v>205</v>
      </c>
      <c r="J1172" s="290"/>
      <c r="K1172" s="290"/>
      <c r="L1172" s="47">
        <v>33</v>
      </c>
      <c r="M1172" s="262">
        <v>34378</v>
      </c>
      <c r="N1172" s="47">
        <v>100</v>
      </c>
      <c r="O1172" s="291">
        <v>34378</v>
      </c>
      <c r="P1172" s="291"/>
      <c r="Q1172" s="291"/>
      <c r="R1172" s="262">
        <v>0</v>
      </c>
      <c r="S1172" s="262">
        <v>34378</v>
      </c>
      <c r="U1172" s="149">
        <f t="shared" si="109"/>
        <v>48205</v>
      </c>
      <c r="V1172" s="146">
        <f t="shared" si="110"/>
        <v>19</v>
      </c>
      <c r="W1172" s="150">
        <f t="shared" si="111"/>
        <v>14</v>
      </c>
      <c r="X1172" s="146">
        <f t="shared" si="113"/>
        <v>14</v>
      </c>
    </row>
    <row r="1173" spans="1:24" ht="2.25" customHeight="1" x14ac:dyDescent="0.25"/>
    <row r="1174" spans="1:24" ht="12" customHeight="1" x14ac:dyDescent="0.25">
      <c r="A1174" s="283" t="s">
        <v>441</v>
      </c>
      <c r="B1174" s="283"/>
      <c r="C1174" s="283"/>
      <c r="D1174" s="283"/>
      <c r="E1174" s="283"/>
      <c r="F1174" s="283"/>
      <c r="G1174" s="283"/>
      <c r="M1174" s="260">
        <v>869407</v>
      </c>
      <c r="O1174" s="284">
        <v>773360.48</v>
      </c>
      <c r="P1174" s="284"/>
      <c r="Q1174" s="284"/>
      <c r="R1174" s="260">
        <v>8661.48</v>
      </c>
      <c r="S1174" s="260">
        <v>782021.96</v>
      </c>
      <c r="U1174" s="281" t="s">
        <v>208</v>
      </c>
      <c r="V1174" s="282"/>
      <c r="W1174" s="147">
        <f>AVERAGE(W1148:W1172)</f>
        <v>4.26</v>
      </c>
      <c r="X1174" s="147">
        <f>AVERAGE(X1148:X1172)</f>
        <v>11.833333333333334</v>
      </c>
    </row>
    <row r="1175" spans="1:24" ht="14.25" customHeight="1" x14ac:dyDescent="0.25">
      <c r="B1175" s="283" t="s">
        <v>209</v>
      </c>
      <c r="C1175" s="283"/>
      <c r="D1175" s="283"/>
      <c r="E1175" s="283"/>
      <c r="F1175" s="283"/>
      <c r="G1175" s="283"/>
      <c r="H1175" s="283"/>
      <c r="M1175" s="261">
        <v>0</v>
      </c>
      <c r="O1175" s="285">
        <v>0</v>
      </c>
      <c r="P1175" s="285"/>
      <c r="Q1175" s="285"/>
      <c r="R1175" s="261">
        <v>0</v>
      </c>
      <c r="S1175" s="261">
        <v>0</v>
      </c>
    </row>
    <row r="1176" spans="1:24" ht="9.75" customHeight="1" thickBot="1" x14ac:dyDescent="0.3">
      <c r="A1176" s="283" t="s">
        <v>442</v>
      </c>
      <c r="B1176" s="283"/>
      <c r="C1176" s="283"/>
      <c r="D1176" s="283"/>
      <c r="E1176" s="283"/>
      <c r="F1176" s="283"/>
      <c r="G1176" s="283"/>
      <c r="M1176" s="286">
        <v>869407</v>
      </c>
      <c r="O1176" s="286">
        <v>773360.48</v>
      </c>
      <c r="P1176" s="286"/>
      <c r="Q1176" s="286"/>
      <c r="R1176" s="286">
        <v>8661.48</v>
      </c>
      <c r="S1176" s="286">
        <v>782021.96</v>
      </c>
    </row>
    <row r="1177" spans="1:24" ht="6" customHeight="1" thickTop="1" thickBot="1" x14ac:dyDescent="0.3">
      <c r="M1177" s="286"/>
      <c r="O1177" s="286"/>
      <c r="P1177" s="286"/>
      <c r="Q1177" s="286"/>
      <c r="R1177" s="286"/>
      <c r="S1177" s="286"/>
    </row>
    <row r="1178" spans="1:24" ht="5.25" customHeight="1" thickTop="1" x14ac:dyDescent="0.25">
      <c r="A1178" s="287"/>
      <c r="B1178" s="287"/>
      <c r="C1178" s="287"/>
      <c r="D1178" s="287"/>
      <c r="E1178" s="287"/>
      <c r="F1178" s="287"/>
      <c r="G1178" s="287"/>
      <c r="H1178" s="287"/>
      <c r="I1178" s="287"/>
      <c r="J1178" s="287"/>
      <c r="K1178" s="287"/>
      <c r="L1178" s="287"/>
      <c r="M1178" s="287"/>
      <c r="N1178" s="287"/>
      <c r="O1178" s="287"/>
      <c r="P1178" s="287"/>
      <c r="Q1178" s="287"/>
      <c r="R1178" s="287"/>
      <c r="S1178" s="287"/>
    </row>
    <row r="1179" spans="1:24" ht="14.25" customHeight="1" x14ac:dyDescent="0.25">
      <c r="A1179" s="283" t="s">
        <v>443</v>
      </c>
      <c r="B1179" s="283"/>
      <c r="C1179" s="283"/>
      <c r="D1179" s="283"/>
      <c r="E1179" s="283"/>
      <c r="F1179" s="283"/>
      <c r="G1179" s="283"/>
      <c r="M1179" s="263">
        <v>4397410.68</v>
      </c>
      <c r="O1179" s="292">
        <v>2268783.0500000003</v>
      </c>
      <c r="P1179" s="292"/>
      <c r="Q1179" s="292"/>
      <c r="R1179" s="263">
        <v>110041.8</v>
      </c>
      <c r="S1179" s="263">
        <v>2378824.85</v>
      </c>
    </row>
    <row r="1180" spans="1:24" ht="14.25" customHeight="1" x14ac:dyDescent="0.25">
      <c r="B1180" s="283" t="s">
        <v>209</v>
      </c>
      <c r="C1180" s="283"/>
      <c r="D1180" s="283"/>
      <c r="E1180" s="283"/>
      <c r="F1180" s="283"/>
      <c r="G1180" s="283"/>
      <c r="H1180" s="283"/>
      <c r="M1180" s="261">
        <v>0</v>
      </c>
      <c r="O1180" s="285">
        <v>0</v>
      </c>
      <c r="P1180" s="285"/>
      <c r="Q1180" s="285"/>
      <c r="R1180" s="261">
        <v>0</v>
      </c>
      <c r="S1180" s="261">
        <v>0</v>
      </c>
    </row>
    <row r="1181" spans="1:24" ht="11.25" customHeight="1" x14ac:dyDescent="0.25">
      <c r="A1181" s="283" t="s">
        <v>444</v>
      </c>
      <c r="B1181" s="283"/>
      <c r="C1181" s="283"/>
      <c r="D1181" s="283"/>
      <c r="E1181" s="283"/>
      <c r="F1181" s="283"/>
      <c r="G1181" s="283"/>
      <c r="M1181" s="263">
        <v>4397410.68</v>
      </c>
      <c r="O1181" s="292">
        <v>2268783.0500000003</v>
      </c>
      <c r="P1181" s="292"/>
      <c r="Q1181" s="292"/>
      <c r="R1181" s="263">
        <v>110041.8</v>
      </c>
      <c r="S1181" s="263">
        <v>2378824.85</v>
      </c>
    </row>
    <row r="1182" spans="1:24" ht="7.5" customHeight="1" thickBot="1" x14ac:dyDescent="0.3">
      <c r="A1182" s="293"/>
      <c r="B1182" s="293"/>
      <c r="C1182" s="293"/>
      <c r="D1182" s="293"/>
      <c r="E1182" s="293"/>
      <c r="F1182" s="293"/>
      <c r="G1182" s="293"/>
      <c r="H1182" s="293"/>
      <c r="I1182" s="293"/>
      <c r="J1182" s="293"/>
      <c r="K1182" s="293"/>
      <c r="L1182" s="293"/>
      <c r="M1182" s="293"/>
      <c r="N1182" s="293"/>
      <c r="O1182" s="293"/>
      <c r="P1182" s="293"/>
      <c r="Q1182" s="293"/>
      <c r="R1182" s="293"/>
      <c r="S1182" s="293"/>
    </row>
    <row r="1183" spans="1:24" ht="12.75" customHeight="1" thickTop="1" x14ac:dyDescent="0.25"/>
  </sheetData>
  <mergeCells count="4255">
    <mergeCell ref="B4:S4"/>
    <mergeCell ref="B5:S5"/>
    <mergeCell ref="B3:S3"/>
    <mergeCell ref="A7:S7"/>
    <mergeCell ref="A8:B8"/>
    <mergeCell ref="E8:H9"/>
    <mergeCell ref="I8:K8"/>
    <mergeCell ref="M8:M9"/>
    <mergeCell ref="O8:Q10"/>
    <mergeCell ref="R8:R10"/>
    <mergeCell ref="S8:S10"/>
    <mergeCell ref="A11:S11"/>
    <mergeCell ref="A14:T14"/>
    <mergeCell ref="A17:B17"/>
    <mergeCell ref="E17:H17"/>
    <mergeCell ref="I17:K17"/>
    <mergeCell ref="O17:Q17"/>
    <mergeCell ref="A18:B18"/>
    <mergeCell ref="E18:H18"/>
    <mergeCell ref="I18:K18"/>
    <mergeCell ref="O18:Q18"/>
    <mergeCell ref="A20:G20"/>
    <mergeCell ref="O20:Q20"/>
    <mergeCell ref="B21:H21"/>
    <mergeCell ref="O21:Q21"/>
    <mergeCell ref="A22:G22"/>
    <mergeCell ref="M22:M23"/>
    <mergeCell ref="O22:Q23"/>
    <mergeCell ref="R22:R23"/>
    <mergeCell ref="S22:S23"/>
    <mergeCell ref="A25:T25"/>
    <mergeCell ref="A28:B28"/>
    <mergeCell ref="E28:H28"/>
    <mergeCell ref="I28:K28"/>
    <mergeCell ref="O28:Q28"/>
    <mergeCell ref="A29:B29"/>
    <mergeCell ref="E29:H29"/>
    <mergeCell ref="I29:K29"/>
    <mergeCell ref="O29:Q29"/>
    <mergeCell ref="A30:B30"/>
    <mergeCell ref="E30:H30"/>
    <mergeCell ref="I30:K30"/>
    <mergeCell ref="O30:Q30"/>
    <mergeCell ref="O34:Q35"/>
    <mergeCell ref="R34:R35"/>
    <mergeCell ref="A32:G32"/>
    <mergeCell ref="O32:Q32"/>
    <mergeCell ref="B33:H33"/>
    <mergeCell ref="O33:Q33"/>
    <mergeCell ref="S34:S35"/>
    <mergeCell ref="A37:T37"/>
    <mergeCell ref="A40:B40"/>
    <mergeCell ref="E40:H40"/>
    <mergeCell ref="I40:K40"/>
    <mergeCell ref="O40:Q40"/>
    <mergeCell ref="A34:G34"/>
    <mergeCell ref="M34:M35"/>
    <mergeCell ref="A41:B41"/>
    <mergeCell ref="E41:H41"/>
    <mergeCell ref="I41:K41"/>
    <mergeCell ref="O41:Q41"/>
    <mergeCell ref="A42:B42"/>
    <mergeCell ref="E42:H42"/>
    <mergeCell ref="I42:K42"/>
    <mergeCell ref="O42:Q42"/>
    <mergeCell ref="A43:B43"/>
    <mergeCell ref="E43:H43"/>
    <mergeCell ref="I43:K43"/>
    <mergeCell ref="O43:Q43"/>
    <mergeCell ref="A44:B44"/>
    <mergeCell ref="E44:H44"/>
    <mergeCell ref="I44:K44"/>
    <mergeCell ref="O44:Q44"/>
    <mergeCell ref="A45:B45"/>
    <mergeCell ref="E45:H45"/>
    <mergeCell ref="I45:K45"/>
    <mergeCell ref="O45:Q45"/>
    <mergeCell ref="A46:B46"/>
    <mergeCell ref="E46:H46"/>
    <mergeCell ref="I46:K46"/>
    <mergeCell ref="O46:Q46"/>
    <mergeCell ref="A47:B47"/>
    <mergeCell ref="E47:H47"/>
    <mergeCell ref="I47:K47"/>
    <mergeCell ref="O47:Q47"/>
    <mergeCell ref="A48:B48"/>
    <mergeCell ref="E48:H48"/>
    <mergeCell ref="I48:K48"/>
    <mergeCell ref="O48:Q48"/>
    <mergeCell ref="A49:B49"/>
    <mergeCell ref="E49:H49"/>
    <mergeCell ref="I49:K49"/>
    <mergeCell ref="O49:Q49"/>
    <mergeCell ref="A50:B50"/>
    <mergeCell ref="E50:H50"/>
    <mergeCell ref="I50:K50"/>
    <mergeCell ref="O50:Q50"/>
    <mergeCell ref="A51:B51"/>
    <mergeCell ref="E51:H51"/>
    <mergeCell ref="I51:K51"/>
    <mergeCell ref="O51:Q51"/>
    <mergeCell ref="A52:B52"/>
    <mergeCell ref="E52:H52"/>
    <mergeCell ref="I52:K52"/>
    <mergeCell ref="O52:Q52"/>
    <mergeCell ref="A53:B53"/>
    <mergeCell ref="E53:H53"/>
    <mergeCell ref="I53:K53"/>
    <mergeCell ref="O53:Q53"/>
    <mergeCell ref="A54:B54"/>
    <mergeCell ref="E54:H54"/>
    <mergeCell ref="I54:K54"/>
    <mergeCell ref="O54:Q54"/>
    <mergeCell ref="A55:B55"/>
    <mergeCell ref="E55:H55"/>
    <mergeCell ref="I55:K55"/>
    <mergeCell ref="O55:Q55"/>
    <mergeCell ref="A57:G57"/>
    <mergeCell ref="O57:Q57"/>
    <mergeCell ref="B58:H58"/>
    <mergeCell ref="O58:Q58"/>
    <mergeCell ref="A59:G59"/>
    <mergeCell ref="M59:M60"/>
    <mergeCell ref="O59:Q60"/>
    <mergeCell ref="R59:R60"/>
    <mergeCell ref="S59:S60"/>
    <mergeCell ref="A62:T62"/>
    <mergeCell ref="A65:B65"/>
    <mergeCell ref="E65:H65"/>
    <mergeCell ref="I65:K65"/>
    <mergeCell ref="O65:Q65"/>
    <mergeCell ref="A66:B66"/>
    <mergeCell ref="E66:H66"/>
    <mergeCell ref="I66:K66"/>
    <mergeCell ref="O66:Q66"/>
    <mergeCell ref="A67:B67"/>
    <mergeCell ref="E67:H67"/>
    <mergeCell ref="I67:K67"/>
    <mergeCell ref="O67:Q67"/>
    <mergeCell ref="A69:G69"/>
    <mergeCell ref="O69:Q69"/>
    <mergeCell ref="B70:H70"/>
    <mergeCell ref="O70:Q70"/>
    <mergeCell ref="S71:S72"/>
    <mergeCell ref="A71:G71"/>
    <mergeCell ref="M71:M72"/>
    <mergeCell ref="O71:Q72"/>
    <mergeCell ref="R71:R72"/>
    <mergeCell ref="A74:T74"/>
    <mergeCell ref="A76:B76"/>
    <mergeCell ref="E76:H76"/>
    <mergeCell ref="I76:K76"/>
    <mergeCell ref="O76:Q76"/>
    <mergeCell ref="A77:B77"/>
    <mergeCell ref="E77:H77"/>
    <mergeCell ref="I77:K77"/>
    <mergeCell ref="O77:Q77"/>
    <mergeCell ref="A78:B78"/>
    <mergeCell ref="E78:H78"/>
    <mergeCell ref="I78:K78"/>
    <mergeCell ref="O78:Q78"/>
    <mergeCell ref="A79:B79"/>
    <mergeCell ref="E79:H79"/>
    <mergeCell ref="I79:K79"/>
    <mergeCell ref="O79:Q79"/>
    <mergeCell ref="A80:B80"/>
    <mergeCell ref="E80:H80"/>
    <mergeCell ref="I80:K80"/>
    <mergeCell ref="O80:Q80"/>
    <mergeCell ref="A81:B81"/>
    <mergeCell ref="E81:H81"/>
    <mergeCell ref="I81:K81"/>
    <mergeCell ref="O81:Q81"/>
    <mergeCell ref="A82:B82"/>
    <mergeCell ref="E82:H82"/>
    <mergeCell ref="I82:K82"/>
    <mergeCell ref="O82:Q82"/>
    <mergeCell ref="A83:B83"/>
    <mergeCell ref="E83:H83"/>
    <mergeCell ref="I83:K83"/>
    <mergeCell ref="O83:Q83"/>
    <mergeCell ref="A84:B84"/>
    <mergeCell ref="E84:H84"/>
    <mergeCell ref="I84:K84"/>
    <mergeCell ref="O84:Q84"/>
    <mergeCell ref="A85:B85"/>
    <mergeCell ref="E85:H85"/>
    <mergeCell ref="I85:K85"/>
    <mergeCell ref="O85:Q85"/>
    <mergeCell ref="A86:B86"/>
    <mergeCell ref="E86:H86"/>
    <mergeCell ref="I86:K86"/>
    <mergeCell ref="O86:Q86"/>
    <mergeCell ref="A87:B87"/>
    <mergeCell ref="E87:H87"/>
    <mergeCell ref="I87:K87"/>
    <mergeCell ref="O87:Q87"/>
    <mergeCell ref="A88:B88"/>
    <mergeCell ref="E88:H88"/>
    <mergeCell ref="I88:K88"/>
    <mergeCell ref="O88:Q88"/>
    <mergeCell ref="A89:B89"/>
    <mergeCell ref="E89:H89"/>
    <mergeCell ref="I89:K89"/>
    <mergeCell ref="O89:Q89"/>
    <mergeCell ref="A90:B90"/>
    <mergeCell ref="E90:H90"/>
    <mergeCell ref="I90:K90"/>
    <mergeCell ref="O90:Q90"/>
    <mergeCell ref="A91:B91"/>
    <mergeCell ref="E91:H91"/>
    <mergeCell ref="I91:K91"/>
    <mergeCell ref="O91:Q91"/>
    <mergeCell ref="A92:B92"/>
    <mergeCell ref="E92:H92"/>
    <mergeCell ref="I92:K92"/>
    <mergeCell ref="O92:Q92"/>
    <mergeCell ref="A93:B93"/>
    <mergeCell ref="E93:H93"/>
    <mergeCell ref="I93:K93"/>
    <mergeCell ref="O93:Q93"/>
    <mergeCell ref="A94:B94"/>
    <mergeCell ref="E94:H94"/>
    <mergeCell ref="I94:K94"/>
    <mergeCell ref="O94:Q94"/>
    <mergeCell ref="A95:B95"/>
    <mergeCell ref="E95:H95"/>
    <mergeCell ref="I95:K95"/>
    <mergeCell ref="O95:Q95"/>
    <mergeCell ref="A96:B96"/>
    <mergeCell ref="E96:H96"/>
    <mergeCell ref="I96:K96"/>
    <mergeCell ref="O96:Q96"/>
    <mergeCell ref="A97:B97"/>
    <mergeCell ref="E97:H97"/>
    <mergeCell ref="I97:K97"/>
    <mergeCell ref="O97:Q97"/>
    <mergeCell ref="A98:B98"/>
    <mergeCell ref="E98:H98"/>
    <mergeCell ref="I98:K98"/>
    <mergeCell ref="O98:Q98"/>
    <mergeCell ref="A99:B99"/>
    <mergeCell ref="E99:H99"/>
    <mergeCell ref="I99:K99"/>
    <mergeCell ref="O99:Q99"/>
    <mergeCell ref="A100:B100"/>
    <mergeCell ref="E100:H100"/>
    <mergeCell ref="I100:K100"/>
    <mergeCell ref="O100:Q100"/>
    <mergeCell ref="A101:B101"/>
    <mergeCell ref="E101:H101"/>
    <mergeCell ref="I101:K101"/>
    <mergeCell ref="O101:Q101"/>
    <mergeCell ref="A102:B102"/>
    <mergeCell ref="E102:H102"/>
    <mergeCell ref="I102:K102"/>
    <mergeCell ref="O102:Q102"/>
    <mergeCell ref="A103:B103"/>
    <mergeCell ref="E103:H103"/>
    <mergeCell ref="I103:K103"/>
    <mergeCell ref="O103:Q103"/>
    <mergeCell ref="A104:B104"/>
    <mergeCell ref="E104:H104"/>
    <mergeCell ref="I104:K104"/>
    <mergeCell ref="O104:Q104"/>
    <mergeCell ref="A105:B105"/>
    <mergeCell ref="E105:H105"/>
    <mergeCell ref="I105:K105"/>
    <mergeCell ref="O105:Q105"/>
    <mergeCell ref="A106:B106"/>
    <mergeCell ref="E106:H106"/>
    <mergeCell ref="I106:K106"/>
    <mergeCell ref="O106:Q106"/>
    <mergeCell ref="A107:B107"/>
    <mergeCell ref="E107:H107"/>
    <mergeCell ref="I107:K107"/>
    <mergeCell ref="O107:Q107"/>
    <mergeCell ref="A108:B108"/>
    <mergeCell ref="E108:H108"/>
    <mergeCell ref="I108:K108"/>
    <mergeCell ref="O108:Q108"/>
    <mergeCell ref="A109:B109"/>
    <mergeCell ref="E109:H109"/>
    <mergeCell ref="I109:K109"/>
    <mergeCell ref="O109:Q109"/>
    <mergeCell ref="A110:B110"/>
    <mergeCell ref="E110:H110"/>
    <mergeCell ref="I110:K110"/>
    <mergeCell ref="O110:Q110"/>
    <mergeCell ref="A111:B111"/>
    <mergeCell ref="E111:H111"/>
    <mergeCell ref="I111:K111"/>
    <mergeCell ref="O111:Q111"/>
    <mergeCell ref="A112:B112"/>
    <mergeCell ref="E112:H112"/>
    <mergeCell ref="I112:K112"/>
    <mergeCell ref="O112:Q112"/>
    <mergeCell ref="A113:B113"/>
    <mergeCell ref="E113:H113"/>
    <mergeCell ref="I113:K113"/>
    <mergeCell ref="O113:Q113"/>
    <mergeCell ref="A114:B114"/>
    <mergeCell ref="E114:H114"/>
    <mergeCell ref="I114:K114"/>
    <mergeCell ref="O114:Q114"/>
    <mergeCell ref="A115:B115"/>
    <mergeCell ref="E115:H115"/>
    <mergeCell ref="I115:K115"/>
    <mergeCell ref="O115:Q115"/>
    <mergeCell ref="A116:B116"/>
    <mergeCell ref="E116:H116"/>
    <mergeCell ref="I116:K116"/>
    <mergeCell ref="O116:Q116"/>
    <mergeCell ref="A117:B117"/>
    <mergeCell ref="E117:H117"/>
    <mergeCell ref="I117:K117"/>
    <mergeCell ref="O117:Q117"/>
    <mergeCell ref="A118:B118"/>
    <mergeCell ref="E118:H118"/>
    <mergeCell ref="I118:K118"/>
    <mergeCell ref="O118:Q118"/>
    <mergeCell ref="A119:B119"/>
    <mergeCell ref="E119:H119"/>
    <mergeCell ref="I119:K119"/>
    <mergeCell ref="O119:Q119"/>
    <mergeCell ref="A120:B120"/>
    <mergeCell ref="E120:H120"/>
    <mergeCell ref="I120:K120"/>
    <mergeCell ref="O120:Q120"/>
    <mergeCell ref="A121:B121"/>
    <mergeCell ref="E121:H121"/>
    <mergeCell ref="I121:K121"/>
    <mergeCell ref="O121:Q121"/>
    <mergeCell ref="A122:B122"/>
    <mergeCell ref="E122:H122"/>
    <mergeCell ref="I122:K122"/>
    <mergeCell ref="O122:Q122"/>
    <mergeCell ref="A123:B123"/>
    <mergeCell ref="E123:H123"/>
    <mergeCell ref="I123:K123"/>
    <mergeCell ref="O123:Q123"/>
    <mergeCell ref="A124:B124"/>
    <mergeCell ref="E124:H124"/>
    <mergeCell ref="I124:K124"/>
    <mergeCell ref="O124:Q124"/>
    <mergeCell ref="A126:B126"/>
    <mergeCell ref="E126:H126"/>
    <mergeCell ref="I126:K126"/>
    <mergeCell ref="O126:Q126"/>
    <mergeCell ref="A125:B125"/>
    <mergeCell ref="E125:H125"/>
    <mergeCell ref="I125:K125"/>
    <mergeCell ref="O125:Q125"/>
    <mergeCell ref="A127:B127"/>
    <mergeCell ref="E127:H127"/>
    <mergeCell ref="I127:K127"/>
    <mergeCell ref="O127:Q127"/>
    <mergeCell ref="A128:B128"/>
    <mergeCell ref="E128:H128"/>
    <mergeCell ref="I128:K128"/>
    <mergeCell ref="O128:Q128"/>
    <mergeCell ref="A129:B129"/>
    <mergeCell ref="E129:H129"/>
    <mergeCell ref="I129:K129"/>
    <mergeCell ref="O129:Q129"/>
    <mergeCell ref="A130:B130"/>
    <mergeCell ref="E130:H130"/>
    <mergeCell ref="I130:K130"/>
    <mergeCell ref="O130:Q130"/>
    <mergeCell ref="A131:B131"/>
    <mergeCell ref="E131:H131"/>
    <mergeCell ref="I131:K131"/>
    <mergeCell ref="O131:Q131"/>
    <mergeCell ref="A132:B132"/>
    <mergeCell ref="E132:H132"/>
    <mergeCell ref="I132:K132"/>
    <mergeCell ref="O132:Q132"/>
    <mergeCell ref="A133:B133"/>
    <mergeCell ref="E133:H133"/>
    <mergeCell ref="I133:K133"/>
    <mergeCell ref="O133:Q133"/>
    <mergeCell ref="A134:B134"/>
    <mergeCell ref="E134:H134"/>
    <mergeCell ref="I134:K134"/>
    <mergeCell ref="O134:Q134"/>
    <mergeCell ref="A135:B135"/>
    <mergeCell ref="E135:H135"/>
    <mergeCell ref="I135:K135"/>
    <mergeCell ref="O135:Q135"/>
    <mergeCell ref="A136:B136"/>
    <mergeCell ref="E136:H136"/>
    <mergeCell ref="I136:K136"/>
    <mergeCell ref="O136:Q136"/>
    <mergeCell ref="A137:B137"/>
    <mergeCell ref="E137:H137"/>
    <mergeCell ref="I137:K137"/>
    <mergeCell ref="O137:Q137"/>
    <mergeCell ref="A138:B138"/>
    <mergeCell ref="E138:H138"/>
    <mergeCell ref="I138:K138"/>
    <mergeCell ref="O138:Q138"/>
    <mergeCell ref="A139:B139"/>
    <mergeCell ref="E139:H139"/>
    <mergeCell ref="I139:K139"/>
    <mergeCell ref="O139:Q139"/>
    <mergeCell ref="A140:B140"/>
    <mergeCell ref="E140:H140"/>
    <mergeCell ref="I140:K140"/>
    <mergeCell ref="O140:Q140"/>
    <mergeCell ref="A141:B141"/>
    <mergeCell ref="E141:H141"/>
    <mergeCell ref="I141:K141"/>
    <mergeCell ref="O141:Q141"/>
    <mergeCell ref="A142:B142"/>
    <mergeCell ref="E142:H142"/>
    <mergeCell ref="I142:K142"/>
    <mergeCell ref="O142:Q142"/>
    <mergeCell ref="A143:B143"/>
    <mergeCell ref="E143:H143"/>
    <mergeCell ref="I143:K143"/>
    <mergeCell ref="O143:Q143"/>
    <mergeCell ref="A144:B144"/>
    <mergeCell ref="E144:H144"/>
    <mergeCell ref="I144:K144"/>
    <mergeCell ref="O144:Q144"/>
    <mergeCell ref="A145:B145"/>
    <mergeCell ref="E145:H145"/>
    <mergeCell ref="I145:K145"/>
    <mergeCell ref="O145:Q145"/>
    <mergeCell ref="A147:G147"/>
    <mergeCell ref="O147:Q147"/>
    <mergeCell ref="B148:H148"/>
    <mergeCell ref="O148:Q148"/>
    <mergeCell ref="A149:G149"/>
    <mergeCell ref="M149:M150"/>
    <mergeCell ref="O149:Q150"/>
    <mergeCell ref="R149:R150"/>
    <mergeCell ref="S149:S150"/>
    <mergeCell ref="A152:T152"/>
    <mergeCell ref="A155:B155"/>
    <mergeCell ref="E155:H155"/>
    <mergeCell ref="I155:K155"/>
    <mergeCell ref="O155:Q155"/>
    <mergeCell ref="A156:B156"/>
    <mergeCell ref="E156:H156"/>
    <mergeCell ref="I156:K156"/>
    <mergeCell ref="O156:Q156"/>
    <mergeCell ref="A158:G158"/>
    <mergeCell ref="O158:Q158"/>
    <mergeCell ref="B159:H159"/>
    <mergeCell ref="O159:Q159"/>
    <mergeCell ref="A160:G160"/>
    <mergeCell ref="M160:M161"/>
    <mergeCell ref="O160:Q161"/>
    <mergeCell ref="S160:S161"/>
    <mergeCell ref="A163:T163"/>
    <mergeCell ref="A166:B166"/>
    <mergeCell ref="E166:H166"/>
    <mergeCell ref="I166:K166"/>
    <mergeCell ref="O166:Q166"/>
    <mergeCell ref="A168:B168"/>
    <mergeCell ref="E168:H168"/>
    <mergeCell ref="I168:K168"/>
    <mergeCell ref="O168:Q168"/>
    <mergeCell ref="R160:R161"/>
    <mergeCell ref="A170:B170"/>
    <mergeCell ref="E170:H170"/>
    <mergeCell ref="I170:K170"/>
    <mergeCell ref="O170:Q170"/>
    <mergeCell ref="A167:B167"/>
    <mergeCell ref="E167:H167"/>
    <mergeCell ref="I167:K167"/>
    <mergeCell ref="O167:Q167"/>
    <mergeCell ref="A172:B172"/>
    <mergeCell ref="E172:H172"/>
    <mergeCell ref="I172:K172"/>
    <mergeCell ref="O172:Q172"/>
    <mergeCell ref="A169:B169"/>
    <mergeCell ref="E169:H169"/>
    <mergeCell ref="I169:K169"/>
    <mergeCell ref="O169:Q169"/>
    <mergeCell ref="A174:B174"/>
    <mergeCell ref="E174:H174"/>
    <mergeCell ref="I174:K174"/>
    <mergeCell ref="O174:Q174"/>
    <mergeCell ref="A171:B171"/>
    <mergeCell ref="E171:H171"/>
    <mergeCell ref="I171:K171"/>
    <mergeCell ref="O171:Q171"/>
    <mergeCell ref="A176:B176"/>
    <mergeCell ref="E176:H176"/>
    <mergeCell ref="I176:K176"/>
    <mergeCell ref="O176:Q176"/>
    <mergeCell ref="A173:B173"/>
    <mergeCell ref="E173:H173"/>
    <mergeCell ref="I173:K173"/>
    <mergeCell ref="O173:Q173"/>
    <mergeCell ref="A178:B178"/>
    <mergeCell ref="E178:H178"/>
    <mergeCell ref="I178:K178"/>
    <mergeCell ref="O178:Q178"/>
    <mergeCell ref="A175:B175"/>
    <mergeCell ref="E175:H175"/>
    <mergeCell ref="I175:K175"/>
    <mergeCell ref="O175:Q175"/>
    <mergeCell ref="A180:B180"/>
    <mergeCell ref="E180:H180"/>
    <mergeCell ref="I180:K180"/>
    <mergeCell ref="O180:Q180"/>
    <mergeCell ref="A177:B177"/>
    <mergeCell ref="E177:H177"/>
    <mergeCell ref="I177:K177"/>
    <mergeCell ref="O177:Q177"/>
    <mergeCell ref="A181:B181"/>
    <mergeCell ref="E181:H181"/>
    <mergeCell ref="I181:K181"/>
    <mergeCell ref="O181:Q181"/>
    <mergeCell ref="A179:B179"/>
    <mergeCell ref="E179:H179"/>
    <mergeCell ref="I179:K179"/>
    <mergeCell ref="O179:Q179"/>
    <mergeCell ref="A182:B182"/>
    <mergeCell ref="E182:H182"/>
    <mergeCell ref="I182:K182"/>
    <mergeCell ref="O182:Q182"/>
    <mergeCell ref="A183:B183"/>
    <mergeCell ref="E183:H183"/>
    <mergeCell ref="I183:K183"/>
    <mergeCell ref="O183:Q183"/>
    <mergeCell ref="A184:B184"/>
    <mergeCell ref="E184:H184"/>
    <mergeCell ref="I184:K184"/>
    <mergeCell ref="O184:Q184"/>
    <mergeCell ref="A185:B185"/>
    <mergeCell ref="E185:H185"/>
    <mergeCell ref="I185:K185"/>
    <mergeCell ref="O185:Q185"/>
    <mergeCell ref="A186:B186"/>
    <mergeCell ref="E186:H186"/>
    <mergeCell ref="I186:K186"/>
    <mergeCell ref="O186:Q186"/>
    <mergeCell ref="A187:B187"/>
    <mergeCell ref="E187:H187"/>
    <mergeCell ref="I187:K187"/>
    <mergeCell ref="O187:Q187"/>
    <mergeCell ref="A188:B188"/>
    <mergeCell ref="E188:H188"/>
    <mergeCell ref="I188:K188"/>
    <mergeCell ref="O188:Q188"/>
    <mergeCell ref="A189:B189"/>
    <mergeCell ref="E189:H189"/>
    <mergeCell ref="I189:K189"/>
    <mergeCell ref="O189:Q189"/>
    <mergeCell ref="A190:B190"/>
    <mergeCell ref="E190:H190"/>
    <mergeCell ref="I190:K190"/>
    <mergeCell ref="O190:Q190"/>
    <mergeCell ref="A191:B191"/>
    <mergeCell ref="E191:H191"/>
    <mergeCell ref="I191:K191"/>
    <mergeCell ref="O191:Q191"/>
    <mergeCell ref="A192:B192"/>
    <mergeCell ref="E192:H192"/>
    <mergeCell ref="I192:K192"/>
    <mergeCell ref="O192:Q192"/>
    <mergeCell ref="A193:B193"/>
    <mergeCell ref="E193:H193"/>
    <mergeCell ref="I193:K193"/>
    <mergeCell ref="O193:Q193"/>
    <mergeCell ref="A194:B194"/>
    <mergeCell ref="E194:H194"/>
    <mergeCell ref="I194:K194"/>
    <mergeCell ref="O194:Q194"/>
    <mergeCell ref="A195:B195"/>
    <mergeCell ref="E195:H195"/>
    <mergeCell ref="I195:K195"/>
    <mergeCell ref="O195:Q195"/>
    <mergeCell ref="A196:B196"/>
    <mergeCell ref="E196:H196"/>
    <mergeCell ref="I196:K196"/>
    <mergeCell ref="O196:Q196"/>
    <mergeCell ref="A197:B197"/>
    <mergeCell ref="E197:H197"/>
    <mergeCell ref="I197:K197"/>
    <mergeCell ref="O197:Q197"/>
    <mergeCell ref="A198:B198"/>
    <mergeCell ref="E198:H198"/>
    <mergeCell ref="I198:K198"/>
    <mergeCell ref="O198:Q198"/>
    <mergeCell ref="A199:B199"/>
    <mergeCell ref="E199:H199"/>
    <mergeCell ref="I199:K199"/>
    <mergeCell ref="O199:Q199"/>
    <mergeCell ref="A200:B200"/>
    <mergeCell ref="E200:H200"/>
    <mergeCell ref="I200:K200"/>
    <mergeCell ref="O200:Q200"/>
    <mergeCell ref="A201:B201"/>
    <mergeCell ref="E201:H201"/>
    <mergeCell ref="I201:K201"/>
    <mergeCell ref="O201:Q201"/>
    <mergeCell ref="A202:B202"/>
    <mergeCell ref="E202:H202"/>
    <mergeCell ref="I202:K202"/>
    <mergeCell ref="O202:Q202"/>
    <mergeCell ref="A203:B203"/>
    <mergeCell ref="E203:H203"/>
    <mergeCell ref="I203:K203"/>
    <mergeCell ref="O203:Q203"/>
    <mergeCell ref="A204:B204"/>
    <mergeCell ref="E204:H204"/>
    <mergeCell ref="I204:K204"/>
    <mergeCell ref="O204:Q204"/>
    <mergeCell ref="A205:B205"/>
    <mergeCell ref="E205:H205"/>
    <mergeCell ref="I205:K205"/>
    <mergeCell ref="O205:Q205"/>
    <mergeCell ref="A206:B206"/>
    <mergeCell ref="E206:H206"/>
    <mergeCell ref="I206:K206"/>
    <mergeCell ref="O206:Q206"/>
    <mergeCell ref="A207:B207"/>
    <mergeCell ref="E207:H207"/>
    <mergeCell ref="I207:K207"/>
    <mergeCell ref="O207:Q207"/>
    <mergeCell ref="A208:B208"/>
    <mergeCell ref="E208:H208"/>
    <mergeCell ref="I208:K208"/>
    <mergeCell ref="O208:Q208"/>
    <mergeCell ref="A209:B209"/>
    <mergeCell ref="E209:H209"/>
    <mergeCell ref="I209:K209"/>
    <mergeCell ref="O209:Q209"/>
    <mergeCell ref="A210:B210"/>
    <mergeCell ref="E210:H210"/>
    <mergeCell ref="I210:K210"/>
    <mergeCell ref="O210:Q210"/>
    <mergeCell ref="A211:B211"/>
    <mergeCell ref="E211:H211"/>
    <mergeCell ref="I211:K211"/>
    <mergeCell ref="O211:Q211"/>
    <mergeCell ref="A212:B212"/>
    <mergeCell ref="E212:H212"/>
    <mergeCell ref="I212:K212"/>
    <mergeCell ref="O212:Q212"/>
    <mergeCell ref="A213:B213"/>
    <mergeCell ref="E213:H213"/>
    <mergeCell ref="I213:K213"/>
    <mergeCell ref="O213:Q213"/>
    <mergeCell ref="A214:B214"/>
    <mergeCell ref="E214:H214"/>
    <mergeCell ref="I214:K214"/>
    <mergeCell ref="O214:Q214"/>
    <mergeCell ref="A215:B215"/>
    <mergeCell ref="E215:H215"/>
    <mergeCell ref="I215:K215"/>
    <mergeCell ref="O215:Q215"/>
    <mergeCell ref="A216:B216"/>
    <mergeCell ref="E216:H216"/>
    <mergeCell ref="I216:K216"/>
    <mergeCell ref="O216:Q216"/>
    <mergeCell ref="A217:B217"/>
    <mergeCell ref="E217:H217"/>
    <mergeCell ref="I217:K217"/>
    <mergeCell ref="O217:Q217"/>
    <mergeCell ref="A218:B218"/>
    <mergeCell ref="E218:H218"/>
    <mergeCell ref="I218:K218"/>
    <mergeCell ref="O218:Q218"/>
    <mergeCell ref="A219:B219"/>
    <mergeCell ref="E219:H219"/>
    <mergeCell ref="I219:K219"/>
    <mergeCell ref="O219:Q219"/>
    <mergeCell ref="A220:B220"/>
    <mergeCell ref="E220:H220"/>
    <mergeCell ref="I220:K220"/>
    <mergeCell ref="O220:Q220"/>
    <mergeCell ref="A221:B221"/>
    <mergeCell ref="E221:H221"/>
    <mergeCell ref="I221:K221"/>
    <mergeCell ref="O221:Q221"/>
    <mergeCell ref="A222:B222"/>
    <mergeCell ref="E222:H222"/>
    <mergeCell ref="I222:K222"/>
    <mergeCell ref="O222:Q222"/>
    <mergeCell ref="A223:B223"/>
    <mergeCell ref="E223:H223"/>
    <mergeCell ref="I223:K223"/>
    <mergeCell ref="O223:Q223"/>
    <mergeCell ref="A224:B224"/>
    <mergeCell ref="E224:H224"/>
    <mergeCell ref="I224:K224"/>
    <mergeCell ref="O224:Q224"/>
    <mergeCell ref="A225:B225"/>
    <mergeCell ref="E225:H225"/>
    <mergeCell ref="I225:K225"/>
    <mergeCell ref="O225:Q225"/>
    <mergeCell ref="A226:B226"/>
    <mergeCell ref="E226:H226"/>
    <mergeCell ref="I226:K226"/>
    <mergeCell ref="O226:Q226"/>
    <mergeCell ref="A227:B227"/>
    <mergeCell ref="E227:H227"/>
    <mergeCell ref="I227:K227"/>
    <mergeCell ref="O227:Q227"/>
    <mergeCell ref="A228:B228"/>
    <mergeCell ref="E228:H228"/>
    <mergeCell ref="I228:K228"/>
    <mergeCell ref="O228:Q228"/>
    <mergeCell ref="A229:B229"/>
    <mergeCell ref="E229:H229"/>
    <mergeCell ref="I229:K229"/>
    <mergeCell ref="O229:Q229"/>
    <mergeCell ref="A231:B231"/>
    <mergeCell ref="E231:H231"/>
    <mergeCell ref="I231:K231"/>
    <mergeCell ref="O231:Q231"/>
    <mergeCell ref="A230:B230"/>
    <mergeCell ref="E230:H230"/>
    <mergeCell ref="I230:K230"/>
    <mergeCell ref="O230:Q230"/>
    <mergeCell ref="A232:B232"/>
    <mergeCell ref="E232:H232"/>
    <mergeCell ref="I232:K232"/>
    <mergeCell ref="O232:Q232"/>
    <mergeCell ref="A233:B233"/>
    <mergeCell ref="E233:H233"/>
    <mergeCell ref="I233:K233"/>
    <mergeCell ref="O233:Q233"/>
    <mergeCell ref="A234:B234"/>
    <mergeCell ref="E234:H234"/>
    <mergeCell ref="I234:K234"/>
    <mergeCell ref="O234:Q234"/>
    <mergeCell ref="A235:B235"/>
    <mergeCell ref="E235:H235"/>
    <mergeCell ref="I235:K235"/>
    <mergeCell ref="O235:Q235"/>
    <mergeCell ref="A236:B236"/>
    <mergeCell ref="E236:H236"/>
    <mergeCell ref="I236:K236"/>
    <mergeCell ref="O236:Q236"/>
    <mergeCell ref="A237:B237"/>
    <mergeCell ref="E237:H237"/>
    <mergeCell ref="I237:K237"/>
    <mergeCell ref="O237:Q237"/>
    <mergeCell ref="A238:B238"/>
    <mergeCell ref="E238:H238"/>
    <mergeCell ref="I238:K238"/>
    <mergeCell ref="O238:Q238"/>
    <mergeCell ref="A239:B239"/>
    <mergeCell ref="E239:H239"/>
    <mergeCell ref="I239:K239"/>
    <mergeCell ref="O239:Q239"/>
    <mergeCell ref="A240:B240"/>
    <mergeCell ref="E240:H240"/>
    <mergeCell ref="I240:K240"/>
    <mergeCell ref="O240:Q240"/>
    <mergeCell ref="A241:B241"/>
    <mergeCell ref="E241:H241"/>
    <mergeCell ref="I241:K241"/>
    <mergeCell ref="O241:Q241"/>
    <mergeCell ref="A242:B242"/>
    <mergeCell ref="E242:H242"/>
    <mergeCell ref="I242:K242"/>
    <mergeCell ref="O242:Q242"/>
    <mergeCell ref="A243:B243"/>
    <mergeCell ref="E243:H243"/>
    <mergeCell ref="I243:K243"/>
    <mergeCell ref="O243:Q243"/>
    <mergeCell ref="A244:B244"/>
    <mergeCell ref="E244:H244"/>
    <mergeCell ref="I244:K244"/>
    <mergeCell ref="O244:Q244"/>
    <mergeCell ref="A245:B245"/>
    <mergeCell ref="E245:H245"/>
    <mergeCell ref="I245:K245"/>
    <mergeCell ref="O245:Q245"/>
    <mergeCell ref="A246:B246"/>
    <mergeCell ref="E246:H246"/>
    <mergeCell ref="I246:K246"/>
    <mergeCell ref="O246:Q246"/>
    <mergeCell ref="A247:B247"/>
    <mergeCell ref="E247:H247"/>
    <mergeCell ref="I247:K247"/>
    <mergeCell ref="O247:Q247"/>
    <mergeCell ref="A248:B248"/>
    <mergeCell ref="E248:H248"/>
    <mergeCell ref="I248:K248"/>
    <mergeCell ref="O248:Q248"/>
    <mergeCell ref="A249:B249"/>
    <mergeCell ref="E249:H249"/>
    <mergeCell ref="I249:K249"/>
    <mergeCell ref="O249:Q249"/>
    <mergeCell ref="A250:B250"/>
    <mergeCell ref="E250:H250"/>
    <mergeCell ref="I250:K250"/>
    <mergeCell ref="O250:Q250"/>
    <mergeCell ref="A251:B251"/>
    <mergeCell ref="E251:H251"/>
    <mergeCell ref="I251:K251"/>
    <mergeCell ref="O251:Q251"/>
    <mergeCell ref="A252:B252"/>
    <mergeCell ref="E252:H252"/>
    <mergeCell ref="I252:K252"/>
    <mergeCell ref="O252:Q252"/>
    <mergeCell ref="A253:B253"/>
    <mergeCell ref="E253:H253"/>
    <mergeCell ref="I253:K253"/>
    <mergeCell ref="O253:Q253"/>
    <mergeCell ref="A254:B254"/>
    <mergeCell ref="E254:H254"/>
    <mergeCell ref="I254:K254"/>
    <mergeCell ref="O254:Q254"/>
    <mergeCell ref="A255:B255"/>
    <mergeCell ref="E255:H255"/>
    <mergeCell ref="I255:K255"/>
    <mergeCell ref="O255:Q255"/>
    <mergeCell ref="A256:B256"/>
    <mergeCell ref="E256:H256"/>
    <mergeCell ref="I256:K256"/>
    <mergeCell ref="O256:Q256"/>
    <mergeCell ref="A257:B257"/>
    <mergeCell ref="E257:H257"/>
    <mergeCell ref="I257:K257"/>
    <mergeCell ref="O257:Q257"/>
    <mergeCell ref="A258:B258"/>
    <mergeCell ref="E258:H258"/>
    <mergeCell ref="I258:K258"/>
    <mergeCell ref="O258:Q258"/>
    <mergeCell ref="A259:B259"/>
    <mergeCell ref="E259:H259"/>
    <mergeCell ref="I259:K259"/>
    <mergeCell ref="O259:Q259"/>
    <mergeCell ref="A260:B260"/>
    <mergeCell ref="E260:H260"/>
    <mergeCell ref="I260:K260"/>
    <mergeCell ref="O260:Q260"/>
    <mergeCell ref="A261:B261"/>
    <mergeCell ref="E261:H261"/>
    <mergeCell ref="I261:K261"/>
    <mergeCell ref="O261:Q261"/>
    <mergeCell ref="A262:B262"/>
    <mergeCell ref="E262:H262"/>
    <mergeCell ref="I262:K262"/>
    <mergeCell ref="O262:Q262"/>
    <mergeCell ref="A263:B263"/>
    <mergeCell ref="E263:H263"/>
    <mergeCell ref="I263:K263"/>
    <mergeCell ref="O263:Q263"/>
    <mergeCell ref="A264:B264"/>
    <mergeCell ref="E264:H264"/>
    <mergeCell ref="I264:K264"/>
    <mergeCell ref="O264:Q264"/>
    <mergeCell ref="A265:B265"/>
    <mergeCell ref="E265:H265"/>
    <mergeCell ref="I265:K265"/>
    <mergeCell ref="O265:Q265"/>
    <mergeCell ref="A266:B266"/>
    <mergeCell ref="E266:H266"/>
    <mergeCell ref="I266:K266"/>
    <mergeCell ref="O266:Q266"/>
    <mergeCell ref="A267:B267"/>
    <mergeCell ref="E267:H267"/>
    <mergeCell ref="I267:K267"/>
    <mergeCell ref="O267:Q267"/>
    <mergeCell ref="A268:B268"/>
    <mergeCell ref="E268:H268"/>
    <mergeCell ref="I268:K268"/>
    <mergeCell ref="O268:Q268"/>
    <mergeCell ref="A269:B269"/>
    <mergeCell ref="E269:H269"/>
    <mergeCell ref="I269:K269"/>
    <mergeCell ref="O269:Q269"/>
    <mergeCell ref="A270:B270"/>
    <mergeCell ref="E270:H270"/>
    <mergeCell ref="I270:K270"/>
    <mergeCell ref="O270:Q270"/>
    <mergeCell ref="A271:B271"/>
    <mergeCell ref="E271:H271"/>
    <mergeCell ref="I271:K271"/>
    <mergeCell ref="O271:Q271"/>
    <mergeCell ref="A272:B272"/>
    <mergeCell ref="E272:H272"/>
    <mergeCell ref="I272:K272"/>
    <mergeCell ref="O272:Q272"/>
    <mergeCell ref="A273:B273"/>
    <mergeCell ref="E273:H273"/>
    <mergeCell ref="I273:K273"/>
    <mergeCell ref="O273:Q273"/>
    <mergeCell ref="A274:B274"/>
    <mergeCell ref="E274:H274"/>
    <mergeCell ref="I274:K274"/>
    <mergeCell ref="O274:Q274"/>
    <mergeCell ref="A275:B275"/>
    <mergeCell ref="E275:H275"/>
    <mergeCell ref="I275:K275"/>
    <mergeCell ref="O275:Q275"/>
    <mergeCell ref="A276:B276"/>
    <mergeCell ref="E276:H276"/>
    <mergeCell ref="I276:K276"/>
    <mergeCell ref="O276:Q276"/>
    <mergeCell ref="A277:B277"/>
    <mergeCell ref="E277:H277"/>
    <mergeCell ref="I277:K277"/>
    <mergeCell ref="O277:Q277"/>
    <mergeCell ref="A278:B278"/>
    <mergeCell ref="E278:H278"/>
    <mergeCell ref="I278:K278"/>
    <mergeCell ref="O278:Q278"/>
    <mergeCell ref="A279:B279"/>
    <mergeCell ref="E279:H279"/>
    <mergeCell ref="I279:K279"/>
    <mergeCell ref="O279:Q279"/>
    <mergeCell ref="A281:B281"/>
    <mergeCell ref="E281:H281"/>
    <mergeCell ref="I281:K281"/>
    <mergeCell ref="O281:Q281"/>
    <mergeCell ref="A280:B280"/>
    <mergeCell ref="E280:H280"/>
    <mergeCell ref="I280:K280"/>
    <mergeCell ref="O280:Q280"/>
    <mergeCell ref="A282:B282"/>
    <mergeCell ref="E282:H282"/>
    <mergeCell ref="I282:K282"/>
    <mergeCell ref="O282:Q282"/>
    <mergeCell ref="A283:B283"/>
    <mergeCell ref="E283:H283"/>
    <mergeCell ref="I283:K283"/>
    <mergeCell ref="O283:Q283"/>
    <mergeCell ref="A284:B284"/>
    <mergeCell ref="E284:H284"/>
    <mergeCell ref="I284:K284"/>
    <mergeCell ref="O284:Q284"/>
    <mergeCell ref="A285:B285"/>
    <mergeCell ref="E285:H285"/>
    <mergeCell ref="I285:K285"/>
    <mergeCell ref="O285:Q285"/>
    <mergeCell ref="A286:B286"/>
    <mergeCell ref="E286:H286"/>
    <mergeCell ref="I286:K286"/>
    <mergeCell ref="O286:Q286"/>
    <mergeCell ref="A287:B287"/>
    <mergeCell ref="E287:H287"/>
    <mergeCell ref="I287:K287"/>
    <mergeCell ref="O287:Q287"/>
    <mergeCell ref="A288:B288"/>
    <mergeCell ref="E288:H288"/>
    <mergeCell ref="I288:K288"/>
    <mergeCell ref="O288:Q288"/>
    <mergeCell ref="A289:B289"/>
    <mergeCell ref="E289:H289"/>
    <mergeCell ref="I289:K289"/>
    <mergeCell ref="O289:Q289"/>
    <mergeCell ref="A290:B290"/>
    <mergeCell ref="E290:H290"/>
    <mergeCell ref="I290:K290"/>
    <mergeCell ref="O290:Q290"/>
    <mergeCell ref="A291:B291"/>
    <mergeCell ref="E291:H291"/>
    <mergeCell ref="I291:K291"/>
    <mergeCell ref="O291:Q291"/>
    <mergeCell ref="A292:B292"/>
    <mergeCell ref="E292:H292"/>
    <mergeCell ref="I292:K292"/>
    <mergeCell ref="O292:Q292"/>
    <mergeCell ref="A293:B293"/>
    <mergeCell ref="E293:H293"/>
    <mergeCell ref="I293:K293"/>
    <mergeCell ref="O293:Q293"/>
    <mergeCell ref="A294:B294"/>
    <mergeCell ref="E294:H294"/>
    <mergeCell ref="I294:K294"/>
    <mergeCell ref="O294:Q294"/>
    <mergeCell ref="A295:B295"/>
    <mergeCell ref="E295:H295"/>
    <mergeCell ref="I295:K295"/>
    <mergeCell ref="O295:Q295"/>
    <mergeCell ref="A296:B296"/>
    <mergeCell ref="E296:H296"/>
    <mergeCell ref="I296:K296"/>
    <mergeCell ref="O296:Q296"/>
    <mergeCell ref="A297:B297"/>
    <mergeCell ref="E297:H297"/>
    <mergeCell ref="I297:K297"/>
    <mergeCell ref="O297:Q297"/>
    <mergeCell ref="A298:B298"/>
    <mergeCell ref="E298:H298"/>
    <mergeCell ref="I298:K298"/>
    <mergeCell ref="O298:Q298"/>
    <mergeCell ref="A299:B299"/>
    <mergeCell ref="E299:H299"/>
    <mergeCell ref="I299:K299"/>
    <mergeCell ref="O299:Q299"/>
    <mergeCell ref="A300:B300"/>
    <mergeCell ref="E300:H300"/>
    <mergeCell ref="I300:K300"/>
    <mergeCell ref="O300:Q300"/>
    <mergeCell ref="A301:B301"/>
    <mergeCell ref="E301:H301"/>
    <mergeCell ref="I301:K301"/>
    <mergeCell ref="O301:Q301"/>
    <mergeCell ref="A302:B302"/>
    <mergeCell ref="E302:H302"/>
    <mergeCell ref="I302:K302"/>
    <mergeCell ref="O302:Q302"/>
    <mergeCell ref="A303:B303"/>
    <mergeCell ref="E303:H303"/>
    <mergeCell ref="I303:K303"/>
    <mergeCell ref="O303:Q303"/>
    <mergeCell ref="A304:B304"/>
    <mergeCell ref="E304:H304"/>
    <mergeCell ref="I304:K304"/>
    <mergeCell ref="O304:Q304"/>
    <mergeCell ref="A305:B305"/>
    <mergeCell ref="E305:H305"/>
    <mergeCell ref="I305:K305"/>
    <mergeCell ref="O305:Q305"/>
    <mergeCell ref="A306:B306"/>
    <mergeCell ref="E306:H306"/>
    <mergeCell ref="I306:K306"/>
    <mergeCell ref="O306:Q306"/>
    <mergeCell ref="A307:B307"/>
    <mergeCell ref="E307:H307"/>
    <mergeCell ref="I307:K307"/>
    <mergeCell ref="O307:Q307"/>
    <mergeCell ref="A308:B308"/>
    <mergeCell ref="E308:H308"/>
    <mergeCell ref="I308:K308"/>
    <mergeCell ref="O308:Q308"/>
    <mergeCell ref="A309:B309"/>
    <mergeCell ref="E309:H309"/>
    <mergeCell ref="I309:K309"/>
    <mergeCell ref="O309:Q309"/>
    <mergeCell ref="A310:B310"/>
    <mergeCell ref="E310:H310"/>
    <mergeCell ref="I310:K310"/>
    <mergeCell ref="O310:Q310"/>
    <mergeCell ref="A311:B311"/>
    <mergeCell ref="E311:H311"/>
    <mergeCell ref="I311:K311"/>
    <mergeCell ref="O311:Q311"/>
    <mergeCell ref="A312:B312"/>
    <mergeCell ref="E312:H312"/>
    <mergeCell ref="I312:K312"/>
    <mergeCell ref="O312:Q312"/>
    <mergeCell ref="A313:B313"/>
    <mergeCell ref="E313:H313"/>
    <mergeCell ref="I313:K313"/>
    <mergeCell ref="O313:Q313"/>
    <mergeCell ref="A314:B314"/>
    <mergeCell ref="E314:H314"/>
    <mergeCell ref="I314:K314"/>
    <mergeCell ref="O314:Q314"/>
    <mergeCell ref="A315:B315"/>
    <mergeCell ref="E315:H315"/>
    <mergeCell ref="I315:K315"/>
    <mergeCell ref="O315:Q315"/>
    <mergeCell ref="A316:B316"/>
    <mergeCell ref="E316:H316"/>
    <mergeCell ref="I316:K316"/>
    <mergeCell ref="O316:Q316"/>
    <mergeCell ref="A317:B317"/>
    <mergeCell ref="E317:H317"/>
    <mergeCell ref="I317:K317"/>
    <mergeCell ref="O317:Q317"/>
    <mergeCell ref="A318:B318"/>
    <mergeCell ref="E318:H318"/>
    <mergeCell ref="I318:K318"/>
    <mergeCell ref="O318:Q318"/>
    <mergeCell ref="A319:B319"/>
    <mergeCell ref="E319:H319"/>
    <mergeCell ref="I319:K319"/>
    <mergeCell ref="O319:Q319"/>
    <mergeCell ref="A320:B320"/>
    <mergeCell ref="E320:H320"/>
    <mergeCell ref="I320:K320"/>
    <mergeCell ref="O320:Q320"/>
    <mergeCell ref="A321:B321"/>
    <mergeCell ref="E321:H321"/>
    <mergeCell ref="I321:K321"/>
    <mergeCell ref="O321:Q321"/>
    <mergeCell ref="A322:B322"/>
    <mergeCell ref="E322:H322"/>
    <mergeCell ref="I322:K322"/>
    <mergeCell ref="O322:Q322"/>
    <mergeCell ref="A323:B323"/>
    <mergeCell ref="E323:H323"/>
    <mergeCell ref="I323:K323"/>
    <mergeCell ref="O323:Q323"/>
    <mergeCell ref="A324:B324"/>
    <mergeCell ref="E324:H324"/>
    <mergeCell ref="I324:K324"/>
    <mergeCell ref="O324:Q324"/>
    <mergeCell ref="A325:B325"/>
    <mergeCell ref="E325:H325"/>
    <mergeCell ref="I325:K325"/>
    <mergeCell ref="O325:Q325"/>
    <mergeCell ref="A326:B326"/>
    <mergeCell ref="E326:H326"/>
    <mergeCell ref="I326:K326"/>
    <mergeCell ref="O326:Q326"/>
    <mergeCell ref="A327:B327"/>
    <mergeCell ref="E327:H327"/>
    <mergeCell ref="I327:K327"/>
    <mergeCell ref="O327:Q327"/>
    <mergeCell ref="A328:B328"/>
    <mergeCell ref="E328:H328"/>
    <mergeCell ref="I328:K328"/>
    <mergeCell ref="O328:Q328"/>
    <mergeCell ref="A329:B329"/>
    <mergeCell ref="E329:H329"/>
    <mergeCell ref="I329:K329"/>
    <mergeCell ref="O329:Q329"/>
    <mergeCell ref="A331:B331"/>
    <mergeCell ref="E331:H331"/>
    <mergeCell ref="I331:K331"/>
    <mergeCell ref="O331:Q331"/>
    <mergeCell ref="A330:B330"/>
    <mergeCell ref="E330:H330"/>
    <mergeCell ref="I330:K330"/>
    <mergeCell ref="O330:Q330"/>
    <mergeCell ref="A332:B332"/>
    <mergeCell ref="E332:H332"/>
    <mergeCell ref="I332:K332"/>
    <mergeCell ref="O332:Q332"/>
    <mergeCell ref="A333:B333"/>
    <mergeCell ref="E333:H333"/>
    <mergeCell ref="I333:K333"/>
    <mergeCell ref="O333:Q333"/>
    <mergeCell ref="A334:B334"/>
    <mergeCell ref="E334:H334"/>
    <mergeCell ref="I334:K334"/>
    <mergeCell ref="O334:Q334"/>
    <mergeCell ref="A335:B335"/>
    <mergeCell ref="E335:H335"/>
    <mergeCell ref="I335:K335"/>
    <mergeCell ref="O335:Q335"/>
    <mergeCell ref="A336:B336"/>
    <mergeCell ref="E336:H336"/>
    <mergeCell ref="I336:K336"/>
    <mergeCell ref="O336:Q336"/>
    <mergeCell ref="A337:B337"/>
    <mergeCell ref="E337:H337"/>
    <mergeCell ref="I337:K337"/>
    <mergeCell ref="O337:Q337"/>
    <mergeCell ref="A338:B338"/>
    <mergeCell ref="E338:H338"/>
    <mergeCell ref="I338:K338"/>
    <mergeCell ref="O338:Q338"/>
    <mergeCell ref="A339:B339"/>
    <mergeCell ref="E339:H339"/>
    <mergeCell ref="I339:K339"/>
    <mergeCell ref="O339:Q339"/>
    <mergeCell ref="A340:B340"/>
    <mergeCell ref="E340:H340"/>
    <mergeCell ref="I340:K340"/>
    <mergeCell ref="O340:Q340"/>
    <mergeCell ref="A341:B341"/>
    <mergeCell ref="E341:H341"/>
    <mergeCell ref="I341:K341"/>
    <mergeCell ref="O341:Q341"/>
    <mergeCell ref="A342:B342"/>
    <mergeCell ref="E342:H342"/>
    <mergeCell ref="I342:K342"/>
    <mergeCell ref="O342:Q342"/>
    <mergeCell ref="A343:B343"/>
    <mergeCell ref="E343:H343"/>
    <mergeCell ref="I343:K343"/>
    <mergeCell ref="O343:Q343"/>
    <mergeCell ref="A344:B344"/>
    <mergeCell ref="E344:H344"/>
    <mergeCell ref="I344:K344"/>
    <mergeCell ref="O344:Q344"/>
    <mergeCell ref="A345:B345"/>
    <mergeCell ref="E345:H345"/>
    <mergeCell ref="I345:K345"/>
    <mergeCell ref="O345:Q345"/>
    <mergeCell ref="A346:B346"/>
    <mergeCell ref="E346:H346"/>
    <mergeCell ref="I346:K346"/>
    <mergeCell ref="O346:Q346"/>
    <mergeCell ref="A347:B347"/>
    <mergeCell ref="E347:H347"/>
    <mergeCell ref="I347:K347"/>
    <mergeCell ref="O347:Q347"/>
    <mergeCell ref="A348:B348"/>
    <mergeCell ref="E348:H348"/>
    <mergeCell ref="I348:K348"/>
    <mergeCell ref="O348:Q348"/>
    <mergeCell ref="A349:B349"/>
    <mergeCell ref="E349:H349"/>
    <mergeCell ref="I349:K349"/>
    <mergeCell ref="O349:Q349"/>
    <mergeCell ref="A350:B350"/>
    <mergeCell ref="E350:H350"/>
    <mergeCell ref="I350:K350"/>
    <mergeCell ref="O350:Q350"/>
    <mergeCell ref="A351:B351"/>
    <mergeCell ref="E351:H351"/>
    <mergeCell ref="I351:K351"/>
    <mergeCell ref="O351:Q351"/>
    <mergeCell ref="A352:B352"/>
    <mergeCell ref="E352:H352"/>
    <mergeCell ref="I352:K352"/>
    <mergeCell ref="O352:Q352"/>
    <mergeCell ref="A353:B353"/>
    <mergeCell ref="E353:H353"/>
    <mergeCell ref="I353:K353"/>
    <mergeCell ref="O353:Q353"/>
    <mergeCell ref="A354:B354"/>
    <mergeCell ref="E354:H354"/>
    <mergeCell ref="I354:K354"/>
    <mergeCell ref="O354:Q354"/>
    <mergeCell ref="A355:B355"/>
    <mergeCell ref="E355:H355"/>
    <mergeCell ref="I355:K355"/>
    <mergeCell ref="O355:Q355"/>
    <mergeCell ref="A356:B356"/>
    <mergeCell ref="E356:H356"/>
    <mergeCell ref="I356:K356"/>
    <mergeCell ref="O356:Q356"/>
    <mergeCell ref="A357:B357"/>
    <mergeCell ref="E357:H357"/>
    <mergeCell ref="I357:K357"/>
    <mergeCell ref="O357:Q357"/>
    <mergeCell ref="A358:B358"/>
    <mergeCell ref="E358:H358"/>
    <mergeCell ref="I358:K358"/>
    <mergeCell ref="O358:Q358"/>
    <mergeCell ref="A359:B359"/>
    <mergeCell ref="E359:H359"/>
    <mergeCell ref="I359:K359"/>
    <mergeCell ref="O359:Q359"/>
    <mergeCell ref="A360:B360"/>
    <mergeCell ref="E360:H360"/>
    <mergeCell ref="I360:K360"/>
    <mergeCell ref="O360:Q360"/>
    <mergeCell ref="A361:B361"/>
    <mergeCell ref="E361:H361"/>
    <mergeCell ref="I361:K361"/>
    <mergeCell ref="O361:Q361"/>
    <mergeCell ref="A362:B362"/>
    <mergeCell ref="E362:H362"/>
    <mergeCell ref="I362:K362"/>
    <mergeCell ref="O362:Q362"/>
    <mergeCell ref="A363:B363"/>
    <mergeCell ref="E363:H363"/>
    <mergeCell ref="I363:K363"/>
    <mergeCell ref="O363:Q363"/>
    <mergeCell ref="A364:B364"/>
    <mergeCell ref="E364:H364"/>
    <mergeCell ref="I364:K364"/>
    <mergeCell ref="O364:Q364"/>
    <mergeCell ref="A365:B365"/>
    <mergeCell ref="E365:H365"/>
    <mergeCell ref="I365:K365"/>
    <mergeCell ref="O365:Q365"/>
    <mergeCell ref="A366:B366"/>
    <mergeCell ref="E366:H366"/>
    <mergeCell ref="I366:K366"/>
    <mergeCell ref="O366:Q366"/>
    <mergeCell ref="A367:B367"/>
    <mergeCell ref="E367:H367"/>
    <mergeCell ref="I367:K367"/>
    <mergeCell ref="O367:Q367"/>
    <mergeCell ref="A368:B368"/>
    <mergeCell ref="E368:H368"/>
    <mergeCell ref="I368:K368"/>
    <mergeCell ref="O368:Q368"/>
    <mergeCell ref="A369:B369"/>
    <mergeCell ref="E369:H369"/>
    <mergeCell ref="I369:K369"/>
    <mergeCell ref="O369:Q369"/>
    <mergeCell ref="A370:B370"/>
    <mergeCell ref="E370:H370"/>
    <mergeCell ref="I370:K370"/>
    <mergeCell ref="O370:Q370"/>
    <mergeCell ref="A371:B371"/>
    <mergeCell ref="E371:H371"/>
    <mergeCell ref="I371:K371"/>
    <mergeCell ref="O371:Q371"/>
    <mergeCell ref="A372:B372"/>
    <mergeCell ref="E372:H372"/>
    <mergeCell ref="I372:K372"/>
    <mergeCell ref="O372:Q372"/>
    <mergeCell ref="A373:B373"/>
    <mergeCell ref="E373:H373"/>
    <mergeCell ref="I373:K373"/>
    <mergeCell ref="O373:Q373"/>
    <mergeCell ref="A374:B374"/>
    <mergeCell ref="E374:H374"/>
    <mergeCell ref="I374:K374"/>
    <mergeCell ref="O374:Q374"/>
    <mergeCell ref="A375:B375"/>
    <mergeCell ref="E375:H375"/>
    <mergeCell ref="I375:K375"/>
    <mergeCell ref="O375:Q375"/>
    <mergeCell ref="A376:B376"/>
    <mergeCell ref="E376:H376"/>
    <mergeCell ref="I376:K376"/>
    <mergeCell ref="O376:Q376"/>
    <mergeCell ref="A377:B377"/>
    <mergeCell ref="E377:H377"/>
    <mergeCell ref="I377:K377"/>
    <mergeCell ref="O377:Q377"/>
    <mergeCell ref="A378:B378"/>
    <mergeCell ref="E378:H378"/>
    <mergeCell ref="I378:K378"/>
    <mergeCell ref="O378:Q378"/>
    <mergeCell ref="A379:B379"/>
    <mergeCell ref="E379:H379"/>
    <mergeCell ref="I379:K379"/>
    <mergeCell ref="O379:Q379"/>
    <mergeCell ref="A381:B381"/>
    <mergeCell ref="E381:H381"/>
    <mergeCell ref="I381:K381"/>
    <mergeCell ref="O381:Q381"/>
    <mergeCell ref="A380:B380"/>
    <mergeCell ref="E380:H380"/>
    <mergeCell ref="I380:K380"/>
    <mergeCell ref="O380:Q380"/>
    <mergeCell ref="A382:B382"/>
    <mergeCell ref="E382:H382"/>
    <mergeCell ref="I382:K382"/>
    <mergeCell ref="O382:Q382"/>
    <mergeCell ref="A383:B383"/>
    <mergeCell ref="E383:H383"/>
    <mergeCell ref="I383:K383"/>
    <mergeCell ref="O383:Q383"/>
    <mergeCell ref="A384:B384"/>
    <mergeCell ref="E384:H384"/>
    <mergeCell ref="I384:K384"/>
    <mergeCell ref="O384:Q384"/>
    <mergeCell ref="A385:B385"/>
    <mergeCell ref="E385:H385"/>
    <mergeCell ref="I385:K385"/>
    <mergeCell ref="O385:Q385"/>
    <mergeCell ref="A386:B386"/>
    <mergeCell ref="E386:H386"/>
    <mergeCell ref="I386:K386"/>
    <mergeCell ref="O386:Q386"/>
    <mergeCell ref="A387:B387"/>
    <mergeCell ref="E387:H387"/>
    <mergeCell ref="I387:K387"/>
    <mergeCell ref="O387:Q387"/>
    <mergeCell ref="A388:B388"/>
    <mergeCell ref="E388:H388"/>
    <mergeCell ref="I388:K388"/>
    <mergeCell ref="O388:Q388"/>
    <mergeCell ref="A389:B389"/>
    <mergeCell ref="E389:H389"/>
    <mergeCell ref="I389:K389"/>
    <mergeCell ref="O389:Q389"/>
    <mergeCell ref="A390:B390"/>
    <mergeCell ref="E390:H390"/>
    <mergeCell ref="I390:K390"/>
    <mergeCell ref="O390:Q390"/>
    <mergeCell ref="A391:B391"/>
    <mergeCell ref="E391:H391"/>
    <mergeCell ref="I391:K391"/>
    <mergeCell ref="O391:Q391"/>
    <mergeCell ref="A392:B392"/>
    <mergeCell ref="E392:H392"/>
    <mergeCell ref="I392:K392"/>
    <mergeCell ref="O392:Q392"/>
    <mergeCell ref="A393:B393"/>
    <mergeCell ref="E393:H393"/>
    <mergeCell ref="I393:K393"/>
    <mergeCell ref="O393:Q393"/>
    <mergeCell ref="A394:B394"/>
    <mergeCell ref="E394:H394"/>
    <mergeCell ref="I394:K394"/>
    <mergeCell ref="O394:Q394"/>
    <mergeCell ref="A395:B395"/>
    <mergeCell ref="E395:H395"/>
    <mergeCell ref="I395:K395"/>
    <mergeCell ref="O395:Q395"/>
    <mergeCell ref="A396:B396"/>
    <mergeCell ref="E396:H396"/>
    <mergeCell ref="I396:K396"/>
    <mergeCell ref="O396:Q396"/>
    <mergeCell ref="A397:B397"/>
    <mergeCell ref="E397:H397"/>
    <mergeCell ref="I397:K397"/>
    <mergeCell ref="O397:Q397"/>
    <mergeCell ref="A398:B398"/>
    <mergeCell ref="E398:H398"/>
    <mergeCell ref="I398:K398"/>
    <mergeCell ref="O398:Q398"/>
    <mergeCell ref="A399:B399"/>
    <mergeCell ref="E399:H399"/>
    <mergeCell ref="I399:K399"/>
    <mergeCell ref="O399:Q399"/>
    <mergeCell ref="A400:B400"/>
    <mergeCell ref="E400:H400"/>
    <mergeCell ref="I400:K400"/>
    <mergeCell ref="O400:Q400"/>
    <mergeCell ref="A401:B401"/>
    <mergeCell ref="E401:H401"/>
    <mergeCell ref="I401:K401"/>
    <mergeCell ref="O401:Q401"/>
    <mergeCell ref="A402:B402"/>
    <mergeCell ref="E402:H402"/>
    <mergeCell ref="I402:K402"/>
    <mergeCell ref="O402:Q402"/>
    <mergeCell ref="A403:B403"/>
    <mergeCell ref="E403:H403"/>
    <mergeCell ref="I403:K403"/>
    <mergeCell ref="O403:Q403"/>
    <mergeCell ref="A404:B404"/>
    <mergeCell ref="E404:H404"/>
    <mergeCell ref="I404:K404"/>
    <mergeCell ref="O404:Q404"/>
    <mergeCell ref="A405:B405"/>
    <mergeCell ref="E405:H405"/>
    <mergeCell ref="I405:K405"/>
    <mergeCell ref="O405:Q405"/>
    <mergeCell ref="A406:B406"/>
    <mergeCell ref="E406:H406"/>
    <mergeCell ref="I406:K406"/>
    <mergeCell ref="O406:Q406"/>
    <mergeCell ref="A407:B407"/>
    <mergeCell ref="E407:H407"/>
    <mergeCell ref="I407:K407"/>
    <mergeCell ref="O407:Q407"/>
    <mergeCell ref="A408:B408"/>
    <mergeCell ref="E408:H408"/>
    <mergeCell ref="I408:K408"/>
    <mergeCell ref="O408:Q408"/>
    <mergeCell ref="A409:B409"/>
    <mergeCell ref="E409:H409"/>
    <mergeCell ref="I409:K409"/>
    <mergeCell ref="O409:Q409"/>
    <mergeCell ref="A410:B410"/>
    <mergeCell ref="E410:H410"/>
    <mergeCell ref="I410:K410"/>
    <mergeCell ref="O410:Q410"/>
    <mergeCell ref="A411:B411"/>
    <mergeCell ref="E411:H411"/>
    <mergeCell ref="I411:K411"/>
    <mergeCell ref="O411:Q411"/>
    <mergeCell ref="A412:B412"/>
    <mergeCell ref="E412:H412"/>
    <mergeCell ref="I412:K412"/>
    <mergeCell ref="O412:Q412"/>
    <mergeCell ref="A413:B413"/>
    <mergeCell ref="E413:H413"/>
    <mergeCell ref="I413:K413"/>
    <mergeCell ref="O413:Q413"/>
    <mergeCell ref="A414:B414"/>
    <mergeCell ref="E414:H414"/>
    <mergeCell ref="I414:K414"/>
    <mergeCell ref="O414:Q414"/>
    <mergeCell ref="A415:B415"/>
    <mergeCell ref="E415:H415"/>
    <mergeCell ref="I415:K415"/>
    <mergeCell ref="O415:Q415"/>
    <mergeCell ref="A416:B416"/>
    <mergeCell ref="E416:H416"/>
    <mergeCell ref="I416:K416"/>
    <mergeCell ref="O416:Q416"/>
    <mergeCell ref="A417:B417"/>
    <mergeCell ref="E417:H417"/>
    <mergeCell ref="I417:K417"/>
    <mergeCell ref="O417:Q417"/>
    <mergeCell ref="A418:B418"/>
    <mergeCell ref="E418:H418"/>
    <mergeCell ref="I418:K418"/>
    <mergeCell ref="O418:Q418"/>
    <mergeCell ref="A419:B419"/>
    <mergeCell ref="E419:H419"/>
    <mergeCell ref="I419:K419"/>
    <mergeCell ref="O419:Q419"/>
    <mergeCell ref="A420:B420"/>
    <mergeCell ref="E420:H420"/>
    <mergeCell ref="I420:K420"/>
    <mergeCell ref="O420:Q420"/>
    <mergeCell ref="A421:B421"/>
    <mergeCell ref="E421:H421"/>
    <mergeCell ref="I421:K421"/>
    <mergeCell ref="O421:Q421"/>
    <mergeCell ref="A422:B422"/>
    <mergeCell ref="E422:H422"/>
    <mergeCell ref="I422:K422"/>
    <mergeCell ref="O422:Q422"/>
    <mergeCell ref="A423:B423"/>
    <mergeCell ref="E423:H423"/>
    <mergeCell ref="I423:K423"/>
    <mergeCell ref="O423:Q423"/>
    <mergeCell ref="A424:B424"/>
    <mergeCell ref="E424:H424"/>
    <mergeCell ref="I424:K424"/>
    <mergeCell ref="O424:Q424"/>
    <mergeCell ref="A425:B425"/>
    <mergeCell ref="E425:H425"/>
    <mergeCell ref="I425:K425"/>
    <mergeCell ref="O425:Q425"/>
    <mergeCell ref="A426:B426"/>
    <mergeCell ref="E426:H426"/>
    <mergeCell ref="I426:K426"/>
    <mergeCell ref="O426:Q426"/>
    <mergeCell ref="A427:B427"/>
    <mergeCell ref="E427:H427"/>
    <mergeCell ref="I427:K427"/>
    <mergeCell ref="O427:Q427"/>
    <mergeCell ref="A428:B428"/>
    <mergeCell ref="E428:H428"/>
    <mergeCell ref="I428:K428"/>
    <mergeCell ref="O428:Q428"/>
    <mergeCell ref="A429:B429"/>
    <mergeCell ref="E429:H429"/>
    <mergeCell ref="I429:K429"/>
    <mergeCell ref="O429:Q429"/>
    <mergeCell ref="A431:B431"/>
    <mergeCell ref="E431:H431"/>
    <mergeCell ref="I431:K431"/>
    <mergeCell ref="O431:Q431"/>
    <mergeCell ref="A430:B430"/>
    <mergeCell ref="E430:H430"/>
    <mergeCell ref="I430:K430"/>
    <mergeCell ref="O430:Q430"/>
    <mergeCell ref="A432:B432"/>
    <mergeCell ref="E432:H432"/>
    <mergeCell ref="I432:K432"/>
    <mergeCell ref="O432:Q432"/>
    <mergeCell ref="A433:B433"/>
    <mergeCell ref="E433:H433"/>
    <mergeCell ref="I433:K433"/>
    <mergeCell ref="O433:Q433"/>
    <mergeCell ref="A434:B434"/>
    <mergeCell ref="E434:H434"/>
    <mergeCell ref="I434:K434"/>
    <mergeCell ref="O434:Q434"/>
    <mergeCell ref="A435:B435"/>
    <mergeCell ref="E435:H435"/>
    <mergeCell ref="I435:K435"/>
    <mergeCell ref="O435:Q435"/>
    <mergeCell ref="A436:B436"/>
    <mergeCell ref="E436:H436"/>
    <mergeCell ref="I436:K436"/>
    <mergeCell ref="O436:Q436"/>
    <mergeCell ref="A437:B437"/>
    <mergeCell ref="E437:H437"/>
    <mergeCell ref="I437:K437"/>
    <mergeCell ref="O437:Q437"/>
    <mergeCell ref="A438:B438"/>
    <mergeCell ref="E438:H438"/>
    <mergeCell ref="I438:K438"/>
    <mergeCell ref="O438:Q438"/>
    <mergeCell ref="A439:B439"/>
    <mergeCell ref="E439:H439"/>
    <mergeCell ref="I439:K439"/>
    <mergeCell ref="O439:Q439"/>
    <mergeCell ref="A440:B440"/>
    <mergeCell ref="E440:H440"/>
    <mergeCell ref="I440:K440"/>
    <mergeCell ref="O440:Q440"/>
    <mergeCell ref="A441:B441"/>
    <mergeCell ref="E441:H441"/>
    <mergeCell ref="I441:K441"/>
    <mergeCell ref="O441:Q441"/>
    <mergeCell ref="A442:B442"/>
    <mergeCell ref="E442:H442"/>
    <mergeCell ref="I442:K442"/>
    <mergeCell ref="O442:Q442"/>
    <mergeCell ref="A443:B443"/>
    <mergeCell ref="E443:H443"/>
    <mergeCell ref="I443:K443"/>
    <mergeCell ref="O443:Q443"/>
    <mergeCell ref="A444:B444"/>
    <mergeCell ref="E444:H444"/>
    <mergeCell ref="I444:K444"/>
    <mergeCell ref="O444:Q444"/>
    <mergeCell ref="A445:B445"/>
    <mergeCell ref="E445:H445"/>
    <mergeCell ref="I445:K445"/>
    <mergeCell ref="O445:Q445"/>
    <mergeCell ref="A446:B446"/>
    <mergeCell ref="E446:H446"/>
    <mergeCell ref="I446:K446"/>
    <mergeCell ref="O446:Q446"/>
    <mergeCell ref="A447:B447"/>
    <mergeCell ref="E447:H447"/>
    <mergeCell ref="I447:K447"/>
    <mergeCell ref="O447:Q447"/>
    <mergeCell ref="A448:B448"/>
    <mergeCell ref="E448:H448"/>
    <mergeCell ref="I448:K448"/>
    <mergeCell ref="O448:Q448"/>
    <mergeCell ref="A449:B449"/>
    <mergeCell ref="E449:H449"/>
    <mergeCell ref="I449:K449"/>
    <mergeCell ref="O449:Q449"/>
    <mergeCell ref="O453:Q454"/>
    <mergeCell ref="R453:R454"/>
    <mergeCell ref="A451:G451"/>
    <mergeCell ref="O451:Q451"/>
    <mergeCell ref="B452:H452"/>
    <mergeCell ref="O452:Q452"/>
    <mergeCell ref="S453:S454"/>
    <mergeCell ref="A456:T456"/>
    <mergeCell ref="A459:B459"/>
    <mergeCell ref="E459:H459"/>
    <mergeCell ref="I459:K459"/>
    <mergeCell ref="O459:Q459"/>
    <mergeCell ref="A453:G453"/>
    <mergeCell ref="M453:M454"/>
    <mergeCell ref="A460:B460"/>
    <mergeCell ref="E460:H460"/>
    <mergeCell ref="I460:K460"/>
    <mergeCell ref="O460:Q460"/>
    <mergeCell ref="A461:B461"/>
    <mergeCell ref="E461:H461"/>
    <mergeCell ref="I461:K461"/>
    <mergeCell ref="O461:Q461"/>
    <mergeCell ref="A462:B462"/>
    <mergeCell ref="E462:H462"/>
    <mergeCell ref="I462:K462"/>
    <mergeCell ref="O462:Q462"/>
    <mergeCell ref="A463:B463"/>
    <mergeCell ref="E463:H463"/>
    <mergeCell ref="I463:K463"/>
    <mergeCell ref="O463:Q463"/>
    <mergeCell ref="A464:B464"/>
    <mergeCell ref="E464:H464"/>
    <mergeCell ref="I464:K464"/>
    <mergeCell ref="O464:Q464"/>
    <mergeCell ref="A465:B465"/>
    <mergeCell ref="E465:H465"/>
    <mergeCell ref="I465:K465"/>
    <mergeCell ref="O465:Q465"/>
    <mergeCell ref="A466:B466"/>
    <mergeCell ref="E466:H466"/>
    <mergeCell ref="I466:K466"/>
    <mergeCell ref="O466:Q466"/>
    <mergeCell ref="A467:B467"/>
    <mergeCell ref="E467:H467"/>
    <mergeCell ref="I467:K467"/>
    <mergeCell ref="O467:Q467"/>
    <mergeCell ref="A468:B468"/>
    <mergeCell ref="E468:H468"/>
    <mergeCell ref="I468:K468"/>
    <mergeCell ref="O468:Q468"/>
    <mergeCell ref="A469:B469"/>
    <mergeCell ref="E469:H469"/>
    <mergeCell ref="I469:K469"/>
    <mergeCell ref="O469:Q469"/>
    <mergeCell ref="A470:B470"/>
    <mergeCell ref="E470:H470"/>
    <mergeCell ref="I470:K470"/>
    <mergeCell ref="O470:Q470"/>
    <mergeCell ref="A471:B471"/>
    <mergeCell ref="E471:H471"/>
    <mergeCell ref="I471:K471"/>
    <mergeCell ref="O471:Q471"/>
    <mergeCell ref="A472:B472"/>
    <mergeCell ref="E472:H472"/>
    <mergeCell ref="I472:K472"/>
    <mergeCell ref="O472:Q472"/>
    <mergeCell ref="A473:B473"/>
    <mergeCell ref="E473:H473"/>
    <mergeCell ref="I473:K473"/>
    <mergeCell ref="O473:Q473"/>
    <mergeCell ref="A474:B474"/>
    <mergeCell ref="E474:H474"/>
    <mergeCell ref="I474:K474"/>
    <mergeCell ref="O474:Q474"/>
    <mergeCell ref="A475:B475"/>
    <mergeCell ref="E475:H475"/>
    <mergeCell ref="I475:K475"/>
    <mergeCell ref="O475:Q475"/>
    <mergeCell ref="A476:B476"/>
    <mergeCell ref="E476:H476"/>
    <mergeCell ref="I476:K476"/>
    <mergeCell ref="O476:Q476"/>
    <mergeCell ref="A477:B477"/>
    <mergeCell ref="E477:H477"/>
    <mergeCell ref="I477:K477"/>
    <mergeCell ref="O477:Q477"/>
    <mergeCell ref="A478:B478"/>
    <mergeCell ref="E478:H478"/>
    <mergeCell ref="I478:K478"/>
    <mergeCell ref="O478:Q478"/>
    <mergeCell ref="A479:B479"/>
    <mergeCell ref="E479:H479"/>
    <mergeCell ref="I479:K479"/>
    <mergeCell ref="O479:Q479"/>
    <mergeCell ref="A480:B480"/>
    <mergeCell ref="E480:H480"/>
    <mergeCell ref="I480:K480"/>
    <mergeCell ref="O480:Q480"/>
    <mergeCell ref="A481:B481"/>
    <mergeCell ref="E481:H481"/>
    <mergeCell ref="I481:K481"/>
    <mergeCell ref="O481:Q481"/>
    <mergeCell ref="A482:B482"/>
    <mergeCell ref="E482:H482"/>
    <mergeCell ref="I482:K482"/>
    <mergeCell ref="O482:Q482"/>
    <mergeCell ref="A483:B483"/>
    <mergeCell ref="E483:H483"/>
    <mergeCell ref="I483:K483"/>
    <mergeCell ref="O483:Q483"/>
    <mergeCell ref="E486:H486"/>
    <mergeCell ref="I486:K486"/>
    <mergeCell ref="O486:Q486"/>
    <mergeCell ref="A484:B484"/>
    <mergeCell ref="E484:H484"/>
    <mergeCell ref="I484:K484"/>
    <mergeCell ref="O484:Q484"/>
    <mergeCell ref="E488:H488"/>
    <mergeCell ref="I488:K488"/>
    <mergeCell ref="O488:Q488"/>
    <mergeCell ref="A485:B485"/>
    <mergeCell ref="E485:H485"/>
    <mergeCell ref="I485:K485"/>
    <mergeCell ref="O485:Q485"/>
    <mergeCell ref="A486:B486"/>
    <mergeCell ref="E490:H490"/>
    <mergeCell ref="I490:K490"/>
    <mergeCell ref="O490:Q490"/>
    <mergeCell ref="A487:B487"/>
    <mergeCell ref="E487:H487"/>
    <mergeCell ref="I487:K487"/>
    <mergeCell ref="O487:Q487"/>
    <mergeCell ref="A488:B488"/>
    <mergeCell ref="E492:H492"/>
    <mergeCell ref="I492:K492"/>
    <mergeCell ref="O492:Q492"/>
    <mergeCell ref="A489:B489"/>
    <mergeCell ref="E489:H489"/>
    <mergeCell ref="I489:K489"/>
    <mergeCell ref="O489:Q489"/>
    <mergeCell ref="A490:B490"/>
    <mergeCell ref="E494:H494"/>
    <mergeCell ref="I494:K494"/>
    <mergeCell ref="O494:Q494"/>
    <mergeCell ref="A491:B491"/>
    <mergeCell ref="E491:H491"/>
    <mergeCell ref="I491:K491"/>
    <mergeCell ref="O491:Q491"/>
    <mergeCell ref="A492:B492"/>
    <mergeCell ref="E496:H496"/>
    <mergeCell ref="I496:K496"/>
    <mergeCell ref="O496:Q496"/>
    <mergeCell ref="A493:B493"/>
    <mergeCell ref="E493:H493"/>
    <mergeCell ref="I493:K493"/>
    <mergeCell ref="O493:Q493"/>
    <mergeCell ref="A494:B494"/>
    <mergeCell ref="E498:H498"/>
    <mergeCell ref="I498:K498"/>
    <mergeCell ref="O498:Q498"/>
    <mergeCell ref="A495:B495"/>
    <mergeCell ref="E495:H495"/>
    <mergeCell ref="I495:K495"/>
    <mergeCell ref="O495:Q495"/>
    <mergeCell ref="A496:B496"/>
    <mergeCell ref="E500:H500"/>
    <mergeCell ref="I500:K500"/>
    <mergeCell ref="O500:Q500"/>
    <mergeCell ref="A497:B497"/>
    <mergeCell ref="E497:H497"/>
    <mergeCell ref="I497:K497"/>
    <mergeCell ref="O497:Q497"/>
    <mergeCell ref="A498:B498"/>
    <mergeCell ref="E502:H502"/>
    <mergeCell ref="I502:K502"/>
    <mergeCell ref="O502:Q502"/>
    <mergeCell ref="A499:B499"/>
    <mergeCell ref="E499:H499"/>
    <mergeCell ref="I499:K499"/>
    <mergeCell ref="O499:Q499"/>
    <mergeCell ref="A500:B500"/>
    <mergeCell ref="E504:H504"/>
    <mergeCell ref="I504:K504"/>
    <mergeCell ref="O504:Q504"/>
    <mergeCell ref="A501:B501"/>
    <mergeCell ref="E501:H501"/>
    <mergeCell ref="I501:K501"/>
    <mergeCell ref="O501:Q501"/>
    <mergeCell ref="A502:B502"/>
    <mergeCell ref="E506:H506"/>
    <mergeCell ref="I506:K506"/>
    <mergeCell ref="O506:Q506"/>
    <mergeCell ref="A503:B503"/>
    <mergeCell ref="E503:H503"/>
    <mergeCell ref="I503:K503"/>
    <mergeCell ref="O503:Q503"/>
    <mergeCell ref="A504:B504"/>
    <mergeCell ref="E508:H508"/>
    <mergeCell ref="I508:K508"/>
    <mergeCell ref="O508:Q508"/>
    <mergeCell ref="A505:B505"/>
    <mergeCell ref="E505:H505"/>
    <mergeCell ref="I505:K505"/>
    <mergeCell ref="O505:Q505"/>
    <mergeCell ref="A506:B506"/>
    <mergeCell ref="E510:H510"/>
    <mergeCell ref="I510:K510"/>
    <mergeCell ref="O510:Q510"/>
    <mergeCell ref="A507:B507"/>
    <mergeCell ref="E507:H507"/>
    <mergeCell ref="I507:K507"/>
    <mergeCell ref="O507:Q507"/>
    <mergeCell ref="A508:B508"/>
    <mergeCell ref="E512:H512"/>
    <mergeCell ref="I512:K512"/>
    <mergeCell ref="O512:Q512"/>
    <mergeCell ref="A509:B509"/>
    <mergeCell ref="E509:H509"/>
    <mergeCell ref="I509:K509"/>
    <mergeCell ref="O509:Q509"/>
    <mergeCell ref="A510:B510"/>
    <mergeCell ref="E514:H514"/>
    <mergeCell ref="I514:K514"/>
    <mergeCell ref="O514:Q514"/>
    <mergeCell ref="A511:B511"/>
    <mergeCell ref="E511:H511"/>
    <mergeCell ref="I511:K511"/>
    <mergeCell ref="O511:Q511"/>
    <mergeCell ref="A512:B512"/>
    <mergeCell ref="E516:H516"/>
    <mergeCell ref="I516:K516"/>
    <mergeCell ref="O516:Q516"/>
    <mergeCell ref="A513:B513"/>
    <mergeCell ref="E513:H513"/>
    <mergeCell ref="I513:K513"/>
    <mergeCell ref="O513:Q513"/>
    <mergeCell ref="A514:B514"/>
    <mergeCell ref="E518:H518"/>
    <mergeCell ref="I518:K518"/>
    <mergeCell ref="O518:Q518"/>
    <mergeCell ref="A515:B515"/>
    <mergeCell ref="E515:H515"/>
    <mergeCell ref="I515:K515"/>
    <mergeCell ref="O515:Q515"/>
    <mergeCell ref="A516:B516"/>
    <mergeCell ref="E520:H520"/>
    <mergeCell ref="I520:K520"/>
    <mergeCell ref="O520:Q520"/>
    <mergeCell ref="A517:B517"/>
    <mergeCell ref="E517:H517"/>
    <mergeCell ref="I517:K517"/>
    <mergeCell ref="O517:Q517"/>
    <mergeCell ref="A518:B518"/>
    <mergeCell ref="E522:H522"/>
    <mergeCell ref="I522:K522"/>
    <mergeCell ref="O522:Q522"/>
    <mergeCell ref="A519:B519"/>
    <mergeCell ref="E519:H519"/>
    <mergeCell ref="I519:K519"/>
    <mergeCell ref="O519:Q519"/>
    <mergeCell ref="A520:B520"/>
    <mergeCell ref="E524:H524"/>
    <mergeCell ref="I524:K524"/>
    <mergeCell ref="O524:Q524"/>
    <mergeCell ref="A521:B521"/>
    <mergeCell ref="E521:H521"/>
    <mergeCell ref="I521:K521"/>
    <mergeCell ref="O521:Q521"/>
    <mergeCell ref="A522:B522"/>
    <mergeCell ref="E526:H526"/>
    <mergeCell ref="I526:K526"/>
    <mergeCell ref="O526:Q526"/>
    <mergeCell ref="A523:B523"/>
    <mergeCell ref="E523:H523"/>
    <mergeCell ref="I523:K523"/>
    <mergeCell ref="O523:Q523"/>
    <mergeCell ref="A524:B524"/>
    <mergeCell ref="E528:H528"/>
    <mergeCell ref="I528:K528"/>
    <mergeCell ref="O528:Q528"/>
    <mergeCell ref="A525:B525"/>
    <mergeCell ref="E525:H525"/>
    <mergeCell ref="I525:K525"/>
    <mergeCell ref="O525:Q525"/>
    <mergeCell ref="A526:B526"/>
    <mergeCell ref="E530:H530"/>
    <mergeCell ref="I530:K530"/>
    <mergeCell ref="O530:Q530"/>
    <mergeCell ref="A527:B527"/>
    <mergeCell ref="E527:H527"/>
    <mergeCell ref="I527:K527"/>
    <mergeCell ref="O527:Q527"/>
    <mergeCell ref="A528:B528"/>
    <mergeCell ref="E532:H532"/>
    <mergeCell ref="I532:K532"/>
    <mergeCell ref="O532:Q532"/>
    <mergeCell ref="A529:B529"/>
    <mergeCell ref="E529:H529"/>
    <mergeCell ref="I529:K529"/>
    <mergeCell ref="O529:Q529"/>
    <mergeCell ref="A530:B530"/>
    <mergeCell ref="R537:R538"/>
    <mergeCell ref="A534:G534"/>
    <mergeCell ref="O534:Q534"/>
    <mergeCell ref="A531:B531"/>
    <mergeCell ref="E531:H531"/>
    <mergeCell ref="I531:K531"/>
    <mergeCell ref="O531:Q531"/>
    <mergeCell ref="A532:B532"/>
    <mergeCell ref="O543:Q543"/>
    <mergeCell ref="B536:H536"/>
    <mergeCell ref="O536:Q536"/>
    <mergeCell ref="A537:G537"/>
    <mergeCell ref="M537:M538"/>
    <mergeCell ref="O537:Q538"/>
    <mergeCell ref="A545:B545"/>
    <mergeCell ref="E545:H545"/>
    <mergeCell ref="I545:K545"/>
    <mergeCell ref="O545:Q545"/>
    <mergeCell ref="S537:S538"/>
    <mergeCell ref="A540:T540"/>
    <mergeCell ref="A543:B543"/>
    <mergeCell ref="E543:H543"/>
    <mergeCell ref="I543:K543"/>
    <mergeCell ref="A547:B547"/>
    <mergeCell ref="E547:H547"/>
    <mergeCell ref="I547:K547"/>
    <mergeCell ref="O547:Q547"/>
    <mergeCell ref="A544:B544"/>
    <mergeCell ref="E544:H544"/>
    <mergeCell ref="I544:K544"/>
    <mergeCell ref="O544:Q544"/>
    <mergeCell ref="A549:B549"/>
    <mergeCell ref="E549:H549"/>
    <mergeCell ref="I549:K549"/>
    <mergeCell ref="O549:Q549"/>
    <mergeCell ref="A546:B546"/>
    <mergeCell ref="E546:H546"/>
    <mergeCell ref="I546:K546"/>
    <mergeCell ref="O546:Q546"/>
    <mergeCell ref="A551:B551"/>
    <mergeCell ref="E551:H551"/>
    <mergeCell ref="I551:K551"/>
    <mergeCell ref="O551:Q551"/>
    <mergeCell ref="A548:B548"/>
    <mergeCell ref="E548:H548"/>
    <mergeCell ref="I548:K548"/>
    <mergeCell ref="O548:Q548"/>
    <mergeCell ref="A553:B553"/>
    <mergeCell ref="E553:H553"/>
    <mergeCell ref="I553:K553"/>
    <mergeCell ref="O553:Q553"/>
    <mergeCell ref="A550:B550"/>
    <mergeCell ref="E550:H550"/>
    <mergeCell ref="I550:K550"/>
    <mergeCell ref="O550:Q550"/>
    <mergeCell ref="A555:B555"/>
    <mergeCell ref="E555:H555"/>
    <mergeCell ref="I555:K555"/>
    <mergeCell ref="O555:Q555"/>
    <mergeCell ref="A552:B552"/>
    <mergeCell ref="E552:H552"/>
    <mergeCell ref="I552:K552"/>
    <mergeCell ref="O552:Q552"/>
    <mergeCell ref="A557:B557"/>
    <mergeCell ref="E557:H557"/>
    <mergeCell ref="I557:K557"/>
    <mergeCell ref="O557:Q557"/>
    <mergeCell ref="A554:B554"/>
    <mergeCell ref="E554:H554"/>
    <mergeCell ref="I554:K554"/>
    <mergeCell ref="O554:Q554"/>
    <mergeCell ref="A559:B559"/>
    <mergeCell ref="E559:H559"/>
    <mergeCell ref="I559:K559"/>
    <mergeCell ref="O559:Q559"/>
    <mergeCell ref="A556:B556"/>
    <mergeCell ref="E556:H556"/>
    <mergeCell ref="I556:K556"/>
    <mergeCell ref="O556:Q556"/>
    <mergeCell ref="A561:B561"/>
    <mergeCell ref="E561:H561"/>
    <mergeCell ref="I561:K561"/>
    <mergeCell ref="O561:Q561"/>
    <mergeCell ref="A558:B558"/>
    <mergeCell ref="E558:H558"/>
    <mergeCell ref="I558:K558"/>
    <mergeCell ref="O558:Q558"/>
    <mergeCell ref="A563:B563"/>
    <mergeCell ref="E563:H563"/>
    <mergeCell ref="I563:K563"/>
    <mergeCell ref="O563:Q563"/>
    <mergeCell ref="A560:B560"/>
    <mergeCell ref="E560:H560"/>
    <mergeCell ref="I560:K560"/>
    <mergeCell ref="O560:Q560"/>
    <mergeCell ref="A565:B565"/>
    <mergeCell ref="E565:H565"/>
    <mergeCell ref="I565:K565"/>
    <mergeCell ref="O565:Q565"/>
    <mergeCell ref="A562:B562"/>
    <mergeCell ref="E562:H562"/>
    <mergeCell ref="I562:K562"/>
    <mergeCell ref="O562:Q562"/>
    <mergeCell ref="A567:B567"/>
    <mergeCell ref="E567:H567"/>
    <mergeCell ref="I567:K567"/>
    <mergeCell ref="O567:Q567"/>
    <mergeCell ref="A564:B564"/>
    <mergeCell ref="E564:H564"/>
    <mergeCell ref="I564:K564"/>
    <mergeCell ref="O564:Q564"/>
    <mergeCell ref="A569:B569"/>
    <mergeCell ref="E569:H569"/>
    <mergeCell ref="I569:K569"/>
    <mergeCell ref="O569:Q569"/>
    <mergeCell ref="A566:B566"/>
    <mergeCell ref="E566:H566"/>
    <mergeCell ref="I566:K566"/>
    <mergeCell ref="O566:Q566"/>
    <mergeCell ref="A571:B571"/>
    <mergeCell ref="E571:H571"/>
    <mergeCell ref="I571:K571"/>
    <mergeCell ref="O571:Q571"/>
    <mergeCell ref="A568:B568"/>
    <mergeCell ref="E568:H568"/>
    <mergeCell ref="I568:K568"/>
    <mergeCell ref="O568:Q568"/>
    <mergeCell ref="A573:B573"/>
    <mergeCell ref="E573:H573"/>
    <mergeCell ref="I573:K573"/>
    <mergeCell ref="O573:Q573"/>
    <mergeCell ref="A570:B570"/>
    <mergeCell ref="E570:H570"/>
    <mergeCell ref="I570:K570"/>
    <mergeCell ref="O570:Q570"/>
    <mergeCell ref="A575:B575"/>
    <mergeCell ref="E575:H575"/>
    <mergeCell ref="I575:K575"/>
    <mergeCell ref="O575:Q575"/>
    <mergeCell ref="A572:B572"/>
    <mergeCell ref="E572:H572"/>
    <mergeCell ref="I572:K572"/>
    <mergeCell ref="O572:Q572"/>
    <mergeCell ref="A577:B577"/>
    <mergeCell ref="E577:H577"/>
    <mergeCell ref="I577:K577"/>
    <mergeCell ref="O577:Q577"/>
    <mergeCell ref="A574:B574"/>
    <mergeCell ref="E574:H574"/>
    <mergeCell ref="I574:K574"/>
    <mergeCell ref="O574:Q574"/>
    <mergeCell ref="A579:B579"/>
    <mergeCell ref="E579:H579"/>
    <mergeCell ref="I579:K579"/>
    <mergeCell ref="O579:Q579"/>
    <mergeCell ref="A576:B576"/>
    <mergeCell ref="E576:H576"/>
    <mergeCell ref="I576:K576"/>
    <mergeCell ref="O576:Q576"/>
    <mergeCell ref="A581:B581"/>
    <mergeCell ref="E581:H581"/>
    <mergeCell ref="I581:K581"/>
    <mergeCell ref="O581:Q581"/>
    <mergeCell ref="A578:B578"/>
    <mergeCell ref="E578:H578"/>
    <mergeCell ref="I578:K578"/>
    <mergeCell ref="O578:Q578"/>
    <mergeCell ref="A583:B583"/>
    <mergeCell ref="E583:H583"/>
    <mergeCell ref="I583:K583"/>
    <mergeCell ref="O583:Q583"/>
    <mergeCell ref="A580:B580"/>
    <mergeCell ref="E580:H580"/>
    <mergeCell ref="I580:K580"/>
    <mergeCell ref="O580:Q580"/>
    <mergeCell ref="A585:B585"/>
    <mergeCell ref="E585:H585"/>
    <mergeCell ref="I585:K585"/>
    <mergeCell ref="O585:Q585"/>
    <mergeCell ref="A582:B582"/>
    <mergeCell ref="E582:H582"/>
    <mergeCell ref="I582:K582"/>
    <mergeCell ref="O582:Q582"/>
    <mergeCell ref="A587:B587"/>
    <mergeCell ref="E587:H587"/>
    <mergeCell ref="I587:K587"/>
    <mergeCell ref="O587:Q587"/>
    <mergeCell ref="A584:B584"/>
    <mergeCell ref="E584:H584"/>
    <mergeCell ref="I584:K584"/>
    <mergeCell ref="O584:Q584"/>
    <mergeCell ref="A589:B589"/>
    <mergeCell ref="E589:H589"/>
    <mergeCell ref="I589:K589"/>
    <mergeCell ref="O589:Q589"/>
    <mergeCell ref="A586:B586"/>
    <mergeCell ref="E586:H586"/>
    <mergeCell ref="I586:K586"/>
    <mergeCell ref="O586:Q586"/>
    <mergeCell ref="A590:B590"/>
    <mergeCell ref="E590:H590"/>
    <mergeCell ref="I590:K590"/>
    <mergeCell ref="O590:Q590"/>
    <mergeCell ref="A588:B588"/>
    <mergeCell ref="E588:H588"/>
    <mergeCell ref="I588:K588"/>
    <mergeCell ref="O588:Q588"/>
    <mergeCell ref="A591:B591"/>
    <mergeCell ref="E591:H591"/>
    <mergeCell ref="I591:K591"/>
    <mergeCell ref="O591:Q591"/>
    <mergeCell ref="A592:B592"/>
    <mergeCell ref="E592:H592"/>
    <mergeCell ref="I592:K592"/>
    <mergeCell ref="O592:Q592"/>
    <mergeCell ref="A593:B593"/>
    <mergeCell ref="E593:H593"/>
    <mergeCell ref="I593:K593"/>
    <mergeCell ref="O593:Q593"/>
    <mergeCell ref="A594:B594"/>
    <mergeCell ref="E594:H594"/>
    <mergeCell ref="I594:K594"/>
    <mergeCell ref="O594:Q594"/>
    <mergeCell ref="A595:B595"/>
    <mergeCell ref="E595:H595"/>
    <mergeCell ref="I595:K595"/>
    <mergeCell ref="O595:Q595"/>
    <mergeCell ref="A596:B596"/>
    <mergeCell ref="E596:H596"/>
    <mergeCell ref="I596:K596"/>
    <mergeCell ref="O596:Q596"/>
    <mergeCell ref="A597:B597"/>
    <mergeCell ref="E597:H597"/>
    <mergeCell ref="I597:K597"/>
    <mergeCell ref="O597:Q597"/>
    <mergeCell ref="A598:B598"/>
    <mergeCell ref="E598:H598"/>
    <mergeCell ref="I598:K598"/>
    <mergeCell ref="O598:Q598"/>
    <mergeCell ref="A599:B599"/>
    <mergeCell ref="E599:H599"/>
    <mergeCell ref="I599:K599"/>
    <mergeCell ref="O599:Q599"/>
    <mergeCell ref="A600:B600"/>
    <mergeCell ref="E600:H600"/>
    <mergeCell ref="I600:K600"/>
    <mergeCell ref="O600:Q600"/>
    <mergeCell ref="A601:B601"/>
    <mergeCell ref="E601:H601"/>
    <mergeCell ref="I601:K601"/>
    <mergeCell ref="O601:Q601"/>
    <mergeCell ref="A602:B602"/>
    <mergeCell ref="E602:H602"/>
    <mergeCell ref="I602:K602"/>
    <mergeCell ref="O602:Q602"/>
    <mergeCell ref="A603:B603"/>
    <mergeCell ref="E603:H603"/>
    <mergeCell ref="I603:K603"/>
    <mergeCell ref="O603:Q603"/>
    <mergeCell ref="A604:B604"/>
    <mergeCell ref="E604:H604"/>
    <mergeCell ref="I604:K604"/>
    <mergeCell ref="O604:Q604"/>
    <mergeCell ref="A605:B605"/>
    <mergeCell ref="E605:H605"/>
    <mergeCell ref="I605:K605"/>
    <mergeCell ref="O605:Q605"/>
    <mergeCell ref="A606:B606"/>
    <mergeCell ref="E606:H606"/>
    <mergeCell ref="I606:K606"/>
    <mergeCell ref="O606:Q606"/>
    <mergeCell ref="A607:B607"/>
    <mergeCell ref="E607:H607"/>
    <mergeCell ref="I607:K607"/>
    <mergeCell ref="O607:Q607"/>
    <mergeCell ref="A608:B608"/>
    <mergeCell ref="E608:H608"/>
    <mergeCell ref="I608:K608"/>
    <mergeCell ref="O608:Q608"/>
    <mergeCell ref="A609:B609"/>
    <mergeCell ref="E609:H609"/>
    <mergeCell ref="I609:K609"/>
    <mergeCell ref="O609:Q609"/>
    <mergeCell ref="A610:B610"/>
    <mergeCell ref="E610:H610"/>
    <mergeCell ref="I610:K610"/>
    <mergeCell ref="O610:Q610"/>
    <mergeCell ref="A611:B611"/>
    <mergeCell ref="E611:H611"/>
    <mergeCell ref="I611:K611"/>
    <mergeCell ref="O611:Q611"/>
    <mergeCell ref="A612:B612"/>
    <mergeCell ref="E612:H612"/>
    <mergeCell ref="I612:K612"/>
    <mergeCell ref="O612:Q612"/>
    <mergeCell ref="A613:B613"/>
    <mergeCell ref="E613:H613"/>
    <mergeCell ref="I613:K613"/>
    <mergeCell ref="O613:Q613"/>
    <mergeCell ref="A614:B614"/>
    <mergeCell ref="E614:H614"/>
    <mergeCell ref="I614:K614"/>
    <mergeCell ref="O614:Q614"/>
    <mergeCell ref="A615:B615"/>
    <mergeCell ref="E615:H615"/>
    <mergeCell ref="I615:K615"/>
    <mergeCell ref="O615:Q615"/>
    <mergeCell ref="A616:B616"/>
    <mergeCell ref="E616:H616"/>
    <mergeCell ref="I616:K616"/>
    <mergeCell ref="O616:Q616"/>
    <mergeCell ref="A617:B617"/>
    <mergeCell ref="E617:H617"/>
    <mergeCell ref="I617:K617"/>
    <mergeCell ref="O617:Q617"/>
    <mergeCell ref="A618:B618"/>
    <mergeCell ref="E618:H618"/>
    <mergeCell ref="I618:K618"/>
    <mergeCell ref="O618:Q618"/>
    <mergeCell ref="A619:B619"/>
    <mergeCell ref="E619:H619"/>
    <mergeCell ref="I619:K619"/>
    <mergeCell ref="O619:Q619"/>
    <mergeCell ref="A620:B620"/>
    <mergeCell ref="E620:H620"/>
    <mergeCell ref="I620:K620"/>
    <mergeCell ref="O620:Q620"/>
    <mergeCell ref="A621:B621"/>
    <mergeCell ref="E621:H621"/>
    <mergeCell ref="I621:K621"/>
    <mergeCell ref="O621:Q621"/>
    <mergeCell ref="A622:B622"/>
    <mergeCell ref="E622:H622"/>
    <mergeCell ref="I622:K622"/>
    <mergeCell ref="O622:Q622"/>
    <mergeCell ref="A623:B623"/>
    <mergeCell ref="E623:H623"/>
    <mergeCell ref="I623:K623"/>
    <mergeCell ref="O623:Q623"/>
    <mergeCell ref="A624:B624"/>
    <mergeCell ref="E624:H624"/>
    <mergeCell ref="I624:K624"/>
    <mergeCell ref="O624:Q624"/>
    <mergeCell ref="A625:B625"/>
    <mergeCell ref="E625:H625"/>
    <mergeCell ref="I625:K625"/>
    <mergeCell ref="O625:Q625"/>
    <mergeCell ref="A626:B626"/>
    <mergeCell ref="E626:H626"/>
    <mergeCell ref="I626:K626"/>
    <mergeCell ref="O626:Q626"/>
    <mergeCell ref="A627:B627"/>
    <mergeCell ref="E627:H627"/>
    <mergeCell ref="I627:K627"/>
    <mergeCell ref="O627:Q627"/>
    <mergeCell ref="A628:B628"/>
    <mergeCell ref="E628:H628"/>
    <mergeCell ref="I628:K628"/>
    <mergeCell ref="O628:Q628"/>
    <mergeCell ref="A629:B629"/>
    <mergeCell ref="E629:H629"/>
    <mergeCell ref="I629:K629"/>
    <mergeCell ref="O629:Q629"/>
    <mergeCell ref="A630:B630"/>
    <mergeCell ref="E630:H630"/>
    <mergeCell ref="I630:K630"/>
    <mergeCell ref="O630:Q630"/>
    <mergeCell ref="A631:B631"/>
    <mergeCell ref="E631:H631"/>
    <mergeCell ref="I631:K631"/>
    <mergeCell ref="O631:Q631"/>
    <mergeCell ref="A632:B632"/>
    <mergeCell ref="E632:H632"/>
    <mergeCell ref="I632:K632"/>
    <mergeCell ref="O632:Q632"/>
    <mergeCell ref="A633:B633"/>
    <mergeCell ref="E633:H633"/>
    <mergeCell ref="I633:K633"/>
    <mergeCell ref="O633:Q633"/>
    <mergeCell ref="A634:B634"/>
    <mergeCell ref="E634:H634"/>
    <mergeCell ref="I634:K634"/>
    <mergeCell ref="O634:Q634"/>
    <mergeCell ref="A635:B635"/>
    <mergeCell ref="E635:H635"/>
    <mergeCell ref="I635:K635"/>
    <mergeCell ref="O635:Q635"/>
    <mergeCell ref="A636:B636"/>
    <mergeCell ref="E636:H636"/>
    <mergeCell ref="I636:K636"/>
    <mergeCell ref="O636:Q636"/>
    <mergeCell ref="A637:B637"/>
    <mergeCell ref="E637:H637"/>
    <mergeCell ref="I637:K637"/>
    <mergeCell ref="O637:Q637"/>
    <mergeCell ref="A638:B638"/>
    <mergeCell ref="E638:H638"/>
    <mergeCell ref="I638:K638"/>
    <mergeCell ref="O638:Q638"/>
    <mergeCell ref="A640:B640"/>
    <mergeCell ref="E640:H640"/>
    <mergeCell ref="I640:K640"/>
    <mergeCell ref="O640:Q640"/>
    <mergeCell ref="A639:B639"/>
    <mergeCell ref="E639:H639"/>
    <mergeCell ref="I639:K639"/>
    <mergeCell ref="O639:Q639"/>
    <mergeCell ref="A641:B641"/>
    <mergeCell ref="E641:H641"/>
    <mergeCell ref="I641:K641"/>
    <mergeCell ref="O641:Q641"/>
    <mergeCell ref="A642:B642"/>
    <mergeCell ref="E642:H642"/>
    <mergeCell ref="I642:K642"/>
    <mergeCell ref="O642:Q642"/>
    <mergeCell ref="A643:B643"/>
    <mergeCell ref="E643:H643"/>
    <mergeCell ref="I643:K643"/>
    <mergeCell ref="O643:Q643"/>
    <mergeCell ref="A644:B644"/>
    <mergeCell ref="E644:H644"/>
    <mergeCell ref="I644:K644"/>
    <mergeCell ref="O644:Q644"/>
    <mergeCell ref="A645:B645"/>
    <mergeCell ref="E645:H645"/>
    <mergeCell ref="I645:K645"/>
    <mergeCell ref="O645:Q645"/>
    <mergeCell ref="A646:B646"/>
    <mergeCell ref="E646:H646"/>
    <mergeCell ref="I646:K646"/>
    <mergeCell ref="O646:Q646"/>
    <mergeCell ref="A647:B647"/>
    <mergeCell ref="E647:H647"/>
    <mergeCell ref="I647:K647"/>
    <mergeCell ref="O647:Q647"/>
    <mergeCell ref="A648:B648"/>
    <mergeCell ref="E648:H648"/>
    <mergeCell ref="I648:K648"/>
    <mergeCell ref="O648:Q648"/>
    <mergeCell ref="A649:B649"/>
    <mergeCell ref="E649:H649"/>
    <mergeCell ref="I649:K649"/>
    <mergeCell ref="O649:Q649"/>
    <mergeCell ref="A650:B650"/>
    <mergeCell ref="E650:H650"/>
    <mergeCell ref="I650:K650"/>
    <mergeCell ref="O650:Q650"/>
    <mergeCell ref="A651:B651"/>
    <mergeCell ref="E651:H651"/>
    <mergeCell ref="I651:K651"/>
    <mergeCell ref="O651:Q651"/>
    <mergeCell ref="A652:B652"/>
    <mergeCell ref="E652:H652"/>
    <mergeCell ref="I652:K652"/>
    <mergeCell ref="O652:Q652"/>
    <mergeCell ref="A653:B653"/>
    <mergeCell ref="E653:H653"/>
    <mergeCell ref="I653:K653"/>
    <mergeCell ref="O653:Q653"/>
    <mergeCell ref="A654:B654"/>
    <mergeCell ref="E654:H654"/>
    <mergeCell ref="I654:K654"/>
    <mergeCell ref="O654:Q654"/>
    <mergeCell ref="A655:B655"/>
    <mergeCell ref="E655:H655"/>
    <mergeCell ref="I655:K655"/>
    <mergeCell ref="O655:Q655"/>
    <mergeCell ref="A656:B656"/>
    <mergeCell ref="E656:H656"/>
    <mergeCell ref="I656:K656"/>
    <mergeCell ref="O656:Q656"/>
    <mergeCell ref="A657:B657"/>
    <mergeCell ref="E657:H657"/>
    <mergeCell ref="I657:K657"/>
    <mergeCell ref="O657:Q657"/>
    <mergeCell ref="A658:B658"/>
    <mergeCell ref="E658:H658"/>
    <mergeCell ref="I658:K658"/>
    <mergeCell ref="O658:Q658"/>
    <mergeCell ref="A659:B659"/>
    <mergeCell ref="E659:H659"/>
    <mergeCell ref="I659:K659"/>
    <mergeCell ref="O659:Q659"/>
    <mergeCell ref="A660:B660"/>
    <mergeCell ref="E660:H660"/>
    <mergeCell ref="I660:K660"/>
    <mergeCell ref="O660:Q660"/>
    <mergeCell ref="A661:B661"/>
    <mergeCell ref="E661:H661"/>
    <mergeCell ref="I661:K661"/>
    <mergeCell ref="O661:Q661"/>
    <mergeCell ref="A662:B662"/>
    <mergeCell ref="E662:H662"/>
    <mergeCell ref="I662:K662"/>
    <mergeCell ref="O662:Q662"/>
    <mergeCell ref="A663:B663"/>
    <mergeCell ref="E663:H663"/>
    <mergeCell ref="I663:K663"/>
    <mergeCell ref="O663:Q663"/>
    <mergeCell ref="A664:B664"/>
    <mergeCell ref="E664:H664"/>
    <mergeCell ref="I664:K664"/>
    <mergeCell ref="O664:Q664"/>
    <mergeCell ref="A665:B665"/>
    <mergeCell ref="E665:H665"/>
    <mergeCell ref="I665:K665"/>
    <mergeCell ref="O665:Q665"/>
    <mergeCell ref="A666:B666"/>
    <mergeCell ref="E666:H666"/>
    <mergeCell ref="I666:K666"/>
    <mergeCell ref="O666:Q666"/>
    <mergeCell ref="A667:B667"/>
    <mergeCell ref="E667:H667"/>
    <mergeCell ref="I667:K667"/>
    <mergeCell ref="O667:Q667"/>
    <mergeCell ref="A668:B668"/>
    <mergeCell ref="E668:H668"/>
    <mergeCell ref="I668:K668"/>
    <mergeCell ref="O668:Q668"/>
    <mergeCell ref="A669:B669"/>
    <mergeCell ref="E669:H669"/>
    <mergeCell ref="I669:K669"/>
    <mergeCell ref="O669:Q669"/>
    <mergeCell ref="A670:B670"/>
    <mergeCell ref="E670:H670"/>
    <mergeCell ref="I670:K670"/>
    <mergeCell ref="O670:Q670"/>
    <mergeCell ref="A671:B671"/>
    <mergeCell ref="E671:H671"/>
    <mergeCell ref="I671:K671"/>
    <mergeCell ref="O671:Q671"/>
    <mergeCell ref="A672:B672"/>
    <mergeCell ref="E672:H672"/>
    <mergeCell ref="I672:K672"/>
    <mergeCell ref="O672:Q672"/>
    <mergeCell ref="A673:B673"/>
    <mergeCell ref="E673:H673"/>
    <mergeCell ref="I673:K673"/>
    <mergeCell ref="O673:Q673"/>
    <mergeCell ref="A674:B674"/>
    <mergeCell ref="E674:H674"/>
    <mergeCell ref="I674:K674"/>
    <mergeCell ref="O674:Q674"/>
    <mergeCell ref="A675:B675"/>
    <mergeCell ref="E675:H675"/>
    <mergeCell ref="I675:K675"/>
    <mergeCell ref="O675:Q675"/>
    <mergeCell ref="A677:G677"/>
    <mergeCell ref="O677:Q677"/>
    <mergeCell ref="B678:H678"/>
    <mergeCell ref="O678:Q678"/>
    <mergeCell ref="A679:G679"/>
    <mergeCell ref="M679:M680"/>
    <mergeCell ref="O679:Q680"/>
    <mergeCell ref="R679:R680"/>
    <mergeCell ref="S679:S680"/>
    <mergeCell ref="A682:T682"/>
    <mergeCell ref="A685:B685"/>
    <mergeCell ref="E685:H685"/>
    <mergeCell ref="I685:K685"/>
    <mergeCell ref="O685:Q685"/>
    <mergeCell ref="A686:B686"/>
    <mergeCell ref="E686:H686"/>
    <mergeCell ref="I686:K686"/>
    <mergeCell ref="O686:Q686"/>
    <mergeCell ref="A687:B687"/>
    <mergeCell ref="E687:H687"/>
    <mergeCell ref="I687:K687"/>
    <mergeCell ref="O687:Q687"/>
    <mergeCell ref="A689:G689"/>
    <mergeCell ref="O689:Q689"/>
    <mergeCell ref="B690:H690"/>
    <mergeCell ref="O690:Q690"/>
    <mergeCell ref="S691:S692"/>
    <mergeCell ref="A691:G691"/>
    <mergeCell ref="M691:M692"/>
    <mergeCell ref="O691:Q692"/>
    <mergeCell ref="R691:R692"/>
    <mergeCell ref="A694:T694"/>
    <mergeCell ref="A697:B697"/>
    <mergeCell ref="E697:H697"/>
    <mergeCell ref="I697:K697"/>
    <mergeCell ref="O697:Q697"/>
    <mergeCell ref="A698:B698"/>
    <mergeCell ref="E698:H698"/>
    <mergeCell ref="I698:K698"/>
    <mergeCell ref="O698:Q698"/>
    <mergeCell ref="A699:B699"/>
    <mergeCell ref="E699:H699"/>
    <mergeCell ref="I699:K699"/>
    <mergeCell ref="O699:Q699"/>
    <mergeCell ref="A700:B700"/>
    <mergeCell ref="E700:H700"/>
    <mergeCell ref="I700:K700"/>
    <mergeCell ref="O700:Q700"/>
    <mergeCell ref="A701:B701"/>
    <mergeCell ref="E701:H701"/>
    <mergeCell ref="I701:K701"/>
    <mergeCell ref="O701:Q701"/>
    <mergeCell ref="A702:B702"/>
    <mergeCell ref="E702:H702"/>
    <mergeCell ref="I702:K702"/>
    <mergeCell ref="O702:Q702"/>
    <mergeCell ref="A703:B703"/>
    <mergeCell ref="E703:H703"/>
    <mergeCell ref="I703:K703"/>
    <mergeCell ref="O703:Q703"/>
    <mergeCell ref="A704:B704"/>
    <mergeCell ref="E704:H704"/>
    <mergeCell ref="I704:K704"/>
    <mergeCell ref="O704:Q704"/>
    <mergeCell ref="A705:B705"/>
    <mergeCell ref="E705:H705"/>
    <mergeCell ref="I705:K705"/>
    <mergeCell ref="O705:Q705"/>
    <mergeCell ref="O709:Q710"/>
    <mergeCell ref="R709:R710"/>
    <mergeCell ref="A707:G707"/>
    <mergeCell ref="O707:Q707"/>
    <mergeCell ref="B708:H708"/>
    <mergeCell ref="O708:Q708"/>
    <mergeCell ref="S709:S710"/>
    <mergeCell ref="A712:T712"/>
    <mergeCell ref="A715:B715"/>
    <mergeCell ref="E715:H715"/>
    <mergeCell ref="I715:K715"/>
    <mergeCell ref="O715:Q715"/>
    <mergeCell ref="A709:G709"/>
    <mergeCell ref="M709:M710"/>
    <mergeCell ref="A716:B716"/>
    <mergeCell ref="E716:H716"/>
    <mergeCell ref="I716:K716"/>
    <mergeCell ref="O716:Q716"/>
    <mergeCell ref="A718:G718"/>
    <mergeCell ref="O718:Q718"/>
    <mergeCell ref="B719:H719"/>
    <mergeCell ref="O719:Q719"/>
    <mergeCell ref="A720:G720"/>
    <mergeCell ref="M720:M721"/>
    <mergeCell ref="O720:Q721"/>
    <mergeCell ref="R720:R721"/>
    <mergeCell ref="S720:S721"/>
    <mergeCell ref="A723:T723"/>
    <mergeCell ref="A726:B726"/>
    <mergeCell ref="E726:H726"/>
    <mergeCell ref="I726:K726"/>
    <mergeCell ref="O726:Q726"/>
    <mergeCell ref="A727:B727"/>
    <mergeCell ref="E727:H727"/>
    <mergeCell ref="I727:K727"/>
    <mergeCell ref="O727:Q727"/>
    <mergeCell ref="A728:B728"/>
    <mergeCell ref="E728:H728"/>
    <mergeCell ref="I728:K728"/>
    <mergeCell ref="O728:Q728"/>
    <mergeCell ref="A729:B729"/>
    <mergeCell ref="E729:H729"/>
    <mergeCell ref="I729:K729"/>
    <mergeCell ref="O729:Q729"/>
    <mergeCell ref="A730:B730"/>
    <mergeCell ref="E730:H730"/>
    <mergeCell ref="I730:K730"/>
    <mergeCell ref="O730:Q730"/>
    <mergeCell ref="A731:B731"/>
    <mergeCell ref="E731:H731"/>
    <mergeCell ref="I731:K731"/>
    <mergeCell ref="O731:Q731"/>
    <mergeCell ref="A732:B732"/>
    <mergeCell ref="E732:H732"/>
    <mergeCell ref="I732:K732"/>
    <mergeCell ref="O732:Q732"/>
    <mergeCell ref="A733:B733"/>
    <mergeCell ref="E733:H733"/>
    <mergeCell ref="I733:K733"/>
    <mergeCell ref="O733:Q733"/>
    <mergeCell ref="A734:B734"/>
    <mergeCell ref="E734:H734"/>
    <mergeCell ref="I734:K734"/>
    <mergeCell ref="O734:Q734"/>
    <mergeCell ref="A735:B735"/>
    <mergeCell ref="E735:H735"/>
    <mergeCell ref="I735:K735"/>
    <mergeCell ref="O735:Q735"/>
    <mergeCell ref="A736:B736"/>
    <mergeCell ref="E736:H736"/>
    <mergeCell ref="I736:K736"/>
    <mergeCell ref="O736:Q736"/>
    <mergeCell ref="A737:B737"/>
    <mergeCell ref="E737:H737"/>
    <mergeCell ref="I737:K737"/>
    <mergeCell ref="O737:Q737"/>
    <mergeCell ref="A738:B738"/>
    <mergeCell ref="E738:H738"/>
    <mergeCell ref="I738:K738"/>
    <mergeCell ref="O738:Q738"/>
    <mergeCell ref="A739:B739"/>
    <mergeCell ref="E739:H739"/>
    <mergeCell ref="I739:K739"/>
    <mergeCell ref="O739:Q739"/>
    <mergeCell ref="A740:B740"/>
    <mergeCell ref="E740:H740"/>
    <mergeCell ref="I740:K740"/>
    <mergeCell ref="O740:Q740"/>
    <mergeCell ref="A741:B741"/>
    <mergeCell ref="E741:H741"/>
    <mergeCell ref="I741:K741"/>
    <mergeCell ref="O741:Q741"/>
    <mergeCell ref="A742:B742"/>
    <mergeCell ref="E742:H742"/>
    <mergeCell ref="I742:K742"/>
    <mergeCell ref="O742:Q742"/>
    <mergeCell ref="A743:B743"/>
    <mergeCell ref="E743:H743"/>
    <mergeCell ref="I743:K743"/>
    <mergeCell ref="O743:Q743"/>
    <mergeCell ref="A744:B744"/>
    <mergeCell ref="E744:H744"/>
    <mergeCell ref="I744:K744"/>
    <mergeCell ref="O744:Q744"/>
    <mergeCell ref="A745:B745"/>
    <mergeCell ref="E745:H745"/>
    <mergeCell ref="I745:K745"/>
    <mergeCell ref="O745:Q745"/>
    <mergeCell ref="A746:B746"/>
    <mergeCell ref="E746:H746"/>
    <mergeCell ref="I746:K746"/>
    <mergeCell ref="O746:Q746"/>
    <mergeCell ref="A747:B747"/>
    <mergeCell ref="E747:H747"/>
    <mergeCell ref="I747:K747"/>
    <mergeCell ref="O747:Q747"/>
    <mergeCell ref="A748:B748"/>
    <mergeCell ref="E748:H748"/>
    <mergeCell ref="I748:K748"/>
    <mergeCell ref="O748:Q748"/>
    <mergeCell ref="A749:B749"/>
    <mergeCell ref="E749:H749"/>
    <mergeCell ref="I749:K749"/>
    <mergeCell ref="O749:Q749"/>
    <mergeCell ref="A750:B750"/>
    <mergeCell ref="E750:H750"/>
    <mergeCell ref="I750:K750"/>
    <mergeCell ref="O750:Q750"/>
    <mergeCell ref="A752:B752"/>
    <mergeCell ref="E752:H752"/>
    <mergeCell ref="I752:K752"/>
    <mergeCell ref="O752:Q752"/>
    <mergeCell ref="A751:B751"/>
    <mergeCell ref="E751:H751"/>
    <mergeCell ref="I751:K751"/>
    <mergeCell ref="O751:Q751"/>
    <mergeCell ref="A753:B753"/>
    <mergeCell ref="E753:H753"/>
    <mergeCell ref="I753:K753"/>
    <mergeCell ref="O753:Q753"/>
    <mergeCell ref="A754:B754"/>
    <mergeCell ref="E754:H754"/>
    <mergeCell ref="I754:K754"/>
    <mergeCell ref="O754:Q754"/>
    <mergeCell ref="A755:B755"/>
    <mergeCell ref="E755:H755"/>
    <mergeCell ref="I755:K755"/>
    <mergeCell ref="O755:Q755"/>
    <mergeCell ref="A756:B756"/>
    <mergeCell ref="E756:H756"/>
    <mergeCell ref="I756:K756"/>
    <mergeCell ref="O756:Q756"/>
    <mergeCell ref="A757:B757"/>
    <mergeCell ref="E757:H757"/>
    <mergeCell ref="I757:K757"/>
    <mergeCell ref="O757:Q757"/>
    <mergeCell ref="A758:B758"/>
    <mergeCell ref="E758:H758"/>
    <mergeCell ref="I758:K758"/>
    <mergeCell ref="O758:Q758"/>
    <mergeCell ref="A759:B759"/>
    <mergeCell ref="E759:H759"/>
    <mergeCell ref="I759:K759"/>
    <mergeCell ref="O759:Q759"/>
    <mergeCell ref="A760:B760"/>
    <mergeCell ref="E760:H760"/>
    <mergeCell ref="I760:K760"/>
    <mergeCell ref="O760:Q760"/>
    <mergeCell ref="A761:B761"/>
    <mergeCell ref="E761:H761"/>
    <mergeCell ref="I761:K761"/>
    <mergeCell ref="O761:Q761"/>
    <mergeCell ref="A762:B762"/>
    <mergeCell ref="E762:H762"/>
    <mergeCell ref="I762:K762"/>
    <mergeCell ref="O762:Q762"/>
    <mergeCell ref="R766:R767"/>
    <mergeCell ref="A764:G764"/>
    <mergeCell ref="O764:Q764"/>
    <mergeCell ref="B765:H765"/>
    <mergeCell ref="O765:Q765"/>
    <mergeCell ref="O772:Q772"/>
    <mergeCell ref="A766:G766"/>
    <mergeCell ref="M766:M767"/>
    <mergeCell ref="O766:Q767"/>
    <mergeCell ref="A774:B774"/>
    <mergeCell ref="E774:H774"/>
    <mergeCell ref="I774:K774"/>
    <mergeCell ref="O774:Q774"/>
    <mergeCell ref="S766:S767"/>
    <mergeCell ref="A769:T769"/>
    <mergeCell ref="A772:B772"/>
    <mergeCell ref="E772:H772"/>
    <mergeCell ref="I772:K772"/>
    <mergeCell ref="A776:B776"/>
    <mergeCell ref="E776:H776"/>
    <mergeCell ref="I776:K776"/>
    <mergeCell ref="O776:Q776"/>
    <mergeCell ref="A773:B773"/>
    <mergeCell ref="E773:H773"/>
    <mergeCell ref="I773:K773"/>
    <mergeCell ref="O773:Q773"/>
    <mergeCell ref="A778:B778"/>
    <mergeCell ref="E778:H778"/>
    <mergeCell ref="I778:K778"/>
    <mergeCell ref="O778:Q778"/>
    <mergeCell ref="A775:B775"/>
    <mergeCell ref="E775:H775"/>
    <mergeCell ref="I775:K775"/>
    <mergeCell ref="O775:Q775"/>
    <mergeCell ref="A780:B780"/>
    <mergeCell ref="E780:H780"/>
    <mergeCell ref="I780:K780"/>
    <mergeCell ref="O780:Q780"/>
    <mergeCell ref="A777:B777"/>
    <mergeCell ref="E777:H777"/>
    <mergeCell ref="I777:K777"/>
    <mergeCell ref="O777:Q777"/>
    <mergeCell ref="A782:B782"/>
    <mergeCell ref="E782:H782"/>
    <mergeCell ref="I782:K782"/>
    <mergeCell ref="O782:Q782"/>
    <mergeCell ref="A779:B779"/>
    <mergeCell ref="E779:H779"/>
    <mergeCell ref="I779:K779"/>
    <mergeCell ref="O779:Q779"/>
    <mergeCell ref="A784:B784"/>
    <mergeCell ref="E784:H784"/>
    <mergeCell ref="I784:K784"/>
    <mergeCell ref="O784:Q784"/>
    <mergeCell ref="A781:B781"/>
    <mergeCell ref="E781:H781"/>
    <mergeCell ref="I781:K781"/>
    <mergeCell ref="O781:Q781"/>
    <mergeCell ref="A786:B786"/>
    <mergeCell ref="E786:H786"/>
    <mergeCell ref="I786:K786"/>
    <mergeCell ref="O786:Q786"/>
    <mergeCell ref="A783:B783"/>
    <mergeCell ref="E783:H783"/>
    <mergeCell ref="I783:K783"/>
    <mergeCell ref="O783:Q783"/>
    <mergeCell ref="A788:B788"/>
    <mergeCell ref="E788:H788"/>
    <mergeCell ref="I788:K788"/>
    <mergeCell ref="O788:Q788"/>
    <mergeCell ref="A785:B785"/>
    <mergeCell ref="E785:H785"/>
    <mergeCell ref="I785:K785"/>
    <mergeCell ref="O785:Q785"/>
    <mergeCell ref="A790:B790"/>
    <mergeCell ref="E790:H790"/>
    <mergeCell ref="I790:K790"/>
    <mergeCell ref="O790:Q790"/>
    <mergeCell ref="A787:B787"/>
    <mergeCell ref="E787:H787"/>
    <mergeCell ref="I787:K787"/>
    <mergeCell ref="O787:Q787"/>
    <mergeCell ref="A792:B792"/>
    <mergeCell ref="E792:H792"/>
    <mergeCell ref="I792:K792"/>
    <mergeCell ref="O792:Q792"/>
    <mergeCell ref="A789:B789"/>
    <mergeCell ref="E789:H789"/>
    <mergeCell ref="I789:K789"/>
    <mergeCell ref="O789:Q789"/>
    <mergeCell ref="A794:B794"/>
    <mergeCell ref="E794:H794"/>
    <mergeCell ref="I794:K794"/>
    <mergeCell ref="O794:Q794"/>
    <mergeCell ref="A791:B791"/>
    <mergeCell ref="E791:H791"/>
    <mergeCell ref="I791:K791"/>
    <mergeCell ref="O791:Q791"/>
    <mergeCell ref="A796:B796"/>
    <mergeCell ref="E796:H796"/>
    <mergeCell ref="I796:K796"/>
    <mergeCell ref="O796:Q796"/>
    <mergeCell ref="A793:B793"/>
    <mergeCell ref="E793:H793"/>
    <mergeCell ref="I793:K793"/>
    <mergeCell ref="O793:Q793"/>
    <mergeCell ref="A798:B798"/>
    <mergeCell ref="E798:H798"/>
    <mergeCell ref="I798:K798"/>
    <mergeCell ref="O798:Q798"/>
    <mergeCell ref="A795:B795"/>
    <mergeCell ref="E795:H795"/>
    <mergeCell ref="I795:K795"/>
    <mergeCell ref="O795:Q795"/>
    <mergeCell ref="A800:B800"/>
    <mergeCell ref="E800:H800"/>
    <mergeCell ref="I800:K800"/>
    <mergeCell ref="O800:Q800"/>
    <mergeCell ref="A797:B797"/>
    <mergeCell ref="E797:H797"/>
    <mergeCell ref="I797:K797"/>
    <mergeCell ref="O797:Q797"/>
    <mergeCell ref="A802:B802"/>
    <mergeCell ref="E802:H802"/>
    <mergeCell ref="I802:K802"/>
    <mergeCell ref="O802:Q802"/>
    <mergeCell ref="A799:B799"/>
    <mergeCell ref="E799:H799"/>
    <mergeCell ref="I799:K799"/>
    <mergeCell ref="O799:Q799"/>
    <mergeCell ref="A804:B804"/>
    <mergeCell ref="E804:H804"/>
    <mergeCell ref="I804:K804"/>
    <mergeCell ref="O804:Q804"/>
    <mergeCell ref="A801:B801"/>
    <mergeCell ref="E801:H801"/>
    <mergeCell ref="I801:K801"/>
    <mergeCell ref="O801:Q801"/>
    <mergeCell ref="A805:B805"/>
    <mergeCell ref="E805:H805"/>
    <mergeCell ref="I805:K805"/>
    <mergeCell ref="O805:Q805"/>
    <mergeCell ref="A803:B803"/>
    <mergeCell ref="E803:H803"/>
    <mergeCell ref="I803:K803"/>
    <mergeCell ref="O803:Q803"/>
    <mergeCell ref="A806:B806"/>
    <mergeCell ref="E806:H806"/>
    <mergeCell ref="I806:K806"/>
    <mergeCell ref="O806:Q806"/>
    <mergeCell ref="A807:B807"/>
    <mergeCell ref="E807:H807"/>
    <mergeCell ref="I807:K807"/>
    <mergeCell ref="O807:Q807"/>
    <mergeCell ref="A808:B808"/>
    <mergeCell ref="E808:H808"/>
    <mergeCell ref="I808:K808"/>
    <mergeCell ref="O808:Q808"/>
    <mergeCell ref="A809:B809"/>
    <mergeCell ref="E809:H809"/>
    <mergeCell ref="I809:K809"/>
    <mergeCell ref="O809:Q809"/>
    <mergeCell ref="A810:B810"/>
    <mergeCell ref="E810:H810"/>
    <mergeCell ref="I810:K810"/>
    <mergeCell ref="O810:Q810"/>
    <mergeCell ref="A811:B811"/>
    <mergeCell ref="E811:H811"/>
    <mergeCell ref="I811:K811"/>
    <mergeCell ref="O811:Q811"/>
    <mergeCell ref="A812:B812"/>
    <mergeCell ref="E812:H812"/>
    <mergeCell ref="I812:K812"/>
    <mergeCell ref="O812:Q812"/>
    <mergeCell ref="A813:B813"/>
    <mergeCell ref="E813:H813"/>
    <mergeCell ref="I813:K813"/>
    <mergeCell ref="O813:Q813"/>
    <mergeCell ref="A814:B814"/>
    <mergeCell ref="E814:H814"/>
    <mergeCell ref="I814:K814"/>
    <mergeCell ref="O814:Q814"/>
    <mergeCell ref="A815:B815"/>
    <mergeCell ref="E815:H815"/>
    <mergeCell ref="I815:K815"/>
    <mergeCell ref="O815:Q815"/>
    <mergeCell ref="A816:B816"/>
    <mergeCell ref="E816:H816"/>
    <mergeCell ref="I816:K816"/>
    <mergeCell ref="O816:Q816"/>
    <mergeCell ref="A817:B817"/>
    <mergeCell ref="E817:H817"/>
    <mergeCell ref="I817:K817"/>
    <mergeCell ref="O817:Q817"/>
    <mergeCell ref="A818:B818"/>
    <mergeCell ref="E818:H818"/>
    <mergeCell ref="I818:K818"/>
    <mergeCell ref="O818:Q818"/>
    <mergeCell ref="A819:B819"/>
    <mergeCell ref="E819:H819"/>
    <mergeCell ref="I819:K819"/>
    <mergeCell ref="O819:Q819"/>
    <mergeCell ref="A820:B820"/>
    <mergeCell ref="E820:H820"/>
    <mergeCell ref="I820:K820"/>
    <mergeCell ref="O820:Q820"/>
    <mergeCell ref="A821:B821"/>
    <mergeCell ref="E821:H821"/>
    <mergeCell ref="I821:K821"/>
    <mergeCell ref="O821:Q821"/>
    <mergeCell ref="A822:B822"/>
    <mergeCell ref="E822:H822"/>
    <mergeCell ref="I822:K822"/>
    <mergeCell ref="O822:Q822"/>
    <mergeCell ref="A823:B823"/>
    <mergeCell ref="E823:H823"/>
    <mergeCell ref="I823:K823"/>
    <mergeCell ref="O823:Q823"/>
    <mergeCell ref="A824:B824"/>
    <mergeCell ref="E824:H824"/>
    <mergeCell ref="I824:K824"/>
    <mergeCell ref="O824:Q824"/>
    <mergeCell ref="A825:B825"/>
    <mergeCell ref="E825:H825"/>
    <mergeCell ref="I825:K825"/>
    <mergeCell ref="O825:Q825"/>
    <mergeCell ref="A826:B826"/>
    <mergeCell ref="E826:H826"/>
    <mergeCell ref="I826:K826"/>
    <mergeCell ref="O826:Q826"/>
    <mergeCell ref="A827:B827"/>
    <mergeCell ref="E827:H827"/>
    <mergeCell ref="I827:K827"/>
    <mergeCell ref="O827:Q827"/>
    <mergeCell ref="A828:B828"/>
    <mergeCell ref="E828:H828"/>
    <mergeCell ref="I828:K828"/>
    <mergeCell ref="O828:Q828"/>
    <mergeCell ref="A829:B829"/>
    <mergeCell ref="E829:H829"/>
    <mergeCell ref="I829:K829"/>
    <mergeCell ref="O829:Q829"/>
    <mergeCell ref="A830:B830"/>
    <mergeCell ref="E830:H830"/>
    <mergeCell ref="I830:K830"/>
    <mergeCell ref="O830:Q830"/>
    <mergeCell ref="A831:B831"/>
    <mergeCell ref="E831:H831"/>
    <mergeCell ref="I831:K831"/>
    <mergeCell ref="O831:Q831"/>
    <mergeCell ref="A832:B832"/>
    <mergeCell ref="E832:H832"/>
    <mergeCell ref="I832:K832"/>
    <mergeCell ref="O832:Q832"/>
    <mergeCell ref="A833:B833"/>
    <mergeCell ref="E833:H833"/>
    <mergeCell ref="I833:K833"/>
    <mergeCell ref="O833:Q833"/>
    <mergeCell ref="A834:B834"/>
    <mergeCell ref="E834:H834"/>
    <mergeCell ref="I834:K834"/>
    <mergeCell ref="O834:Q834"/>
    <mergeCell ref="A835:B835"/>
    <mergeCell ref="E835:H835"/>
    <mergeCell ref="I835:K835"/>
    <mergeCell ref="O835:Q835"/>
    <mergeCell ref="A836:B836"/>
    <mergeCell ref="E836:H836"/>
    <mergeCell ref="I836:K836"/>
    <mergeCell ref="O836:Q836"/>
    <mergeCell ref="A837:B837"/>
    <mergeCell ref="E837:H837"/>
    <mergeCell ref="I837:K837"/>
    <mergeCell ref="O837:Q837"/>
    <mergeCell ref="A838:B838"/>
    <mergeCell ref="E838:H838"/>
    <mergeCell ref="I838:K838"/>
    <mergeCell ref="O838:Q838"/>
    <mergeCell ref="A839:B839"/>
    <mergeCell ref="E839:H839"/>
    <mergeCell ref="I839:K839"/>
    <mergeCell ref="O839:Q839"/>
    <mergeCell ref="A840:B840"/>
    <mergeCell ref="E840:H840"/>
    <mergeCell ref="I840:K840"/>
    <mergeCell ref="O840:Q840"/>
    <mergeCell ref="A841:B841"/>
    <mergeCell ref="E841:H841"/>
    <mergeCell ref="I841:K841"/>
    <mergeCell ref="O841:Q841"/>
    <mergeCell ref="A842:B842"/>
    <mergeCell ref="E842:H842"/>
    <mergeCell ref="I842:K842"/>
    <mergeCell ref="O842:Q842"/>
    <mergeCell ref="A843:B843"/>
    <mergeCell ref="E843:H843"/>
    <mergeCell ref="I843:K843"/>
    <mergeCell ref="O843:Q843"/>
    <mergeCell ref="A844:B844"/>
    <mergeCell ref="E844:H844"/>
    <mergeCell ref="I844:K844"/>
    <mergeCell ref="O844:Q844"/>
    <mergeCell ref="A845:B845"/>
    <mergeCell ref="E845:H845"/>
    <mergeCell ref="I845:K845"/>
    <mergeCell ref="O845:Q845"/>
    <mergeCell ref="A846:B846"/>
    <mergeCell ref="E846:H846"/>
    <mergeCell ref="I846:K846"/>
    <mergeCell ref="O846:Q846"/>
    <mergeCell ref="A847:B847"/>
    <mergeCell ref="E847:H847"/>
    <mergeCell ref="I847:K847"/>
    <mergeCell ref="O847:Q847"/>
    <mergeCell ref="A848:B848"/>
    <mergeCell ref="E848:H848"/>
    <mergeCell ref="I848:K848"/>
    <mergeCell ref="O848:Q848"/>
    <mergeCell ref="A849:B849"/>
    <mergeCell ref="E849:H849"/>
    <mergeCell ref="I849:K849"/>
    <mergeCell ref="O849:Q849"/>
    <mergeCell ref="A850:B850"/>
    <mergeCell ref="E850:H850"/>
    <mergeCell ref="I850:K850"/>
    <mergeCell ref="O850:Q850"/>
    <mergeCell ref="A851:B851"/>
    <mergeCell ref="E851:H851"/>
    <mergeCell ref="I851:K851"/>
    <mergeCell ref="O851:Q851"/>
    <mergeCell ref="A852:B852"/>
    <mergeCell ref="E852:H852"/>
    <mergeCell ref="I852:K852"/>
    <mergeCell ref="O852:Q852"/>
    <mergeCell ref="A853:B853"/>
    <mergeCell ref="E853:H853"/>
    <mergeCell ref="I853:K853"/>
    <mergeCell ref="O853:Q853"/>
    <mergeCell ref="A855:B855"/>
    <mergeCell ref="E855:H855"/>
    <mergeCell ref="I855:K855"/>
    <mergeCell ref="O855:Q855"/>
    <mergeCell ref="A854:B854"/>
    <mergeCell ref="E854:H854"/>
    <mergeCell ref="I854:K854"/>
    <mergeCell ref="O854:Q854"/>
    <mergeCell ref="A856:B856"/>
    <mergeCell ref="E856:H856"/>
    <mergeCell ref="I856:K856"/>
    <mergeCell ref="O856:Q856"/>
    <mergeCell ref="A857:B857"/>
    <mergeCell ref="E857:H857"/>
    <mergeCell ref="I857:K857"/>
    <mergeCell ref="O857:Q857"/>
    <mergeCell ref="A858:B858"/>
    <mergeCell ref="E858:H858"/>
    <mergeCell ref="I858:K858"/>
    <mergeCell ref="O858:Q858"/>
    <mergeCell ref="A859:B859"/>
    <mergeCell ref="E859:H859"/>
    <mergeCell ref="I859:K859"/>
    <mergeCell ref="O859:Q859"/>
    <mergeCell ref="A860:B860"/>
    <mergeCell ref="E860:H860"/>
    <mergeCell ref="I860:K860"/>
    <mergeCell ref="O860:Q860"/>
    <mergeCell ref="A861:B861"/>
    <mergeCell ref="E861:H861"/>
    <mergeCell ref="I861:K861"/>
    <mergeCell ref="O861:Q861"/>
    <mergeCell ref="A862:B862"/>
    <mergeCell ref="E862:H862"/>
    <mergeCell ref="I862:K862"/>
    <mergeCell ref="O862:Q862"/>
    <mergeCell ref="A863:B863"/>
    <mergeCell ref="E863:H863"/>
    <mergeCell ref="I863:K863"/>
    <mergeCell ref="O863:Q863"/>
    <mergeCell ref="A864:B864"/>
    <mergeCell ref="E864:H864"/>
    <mergeCell ref="I864:K864"/>
    <mergeCell ref="O864:Q864"/>
    <mergeCell ref="A865:B865"/>
    <mergeCell ref="E865:H865"/>
    <mergeCell ref="I865:K865"/>
    <mergeCell ref="O865:Q865"/>
    <mergeCell ref="A866:B866"/>
    <mergeCell ref="E866:H866"/>
    <mergeCell ref="I866:K866"/>
    <mergeCell ref="O866:Q866"/>
    <mergeCell ref="A867:B867"/>
    <mergeCell ref="E867:H867"/>
    <mergeCell ref="I867:K867"/>
    <mergeCell ref="O867:Q867"/>
    <mergeCell ref="A868:B868"/>
    <mergeCell ref="E868:H868"/>
    <mergeCell ref="I868:K868"/>
    <mergeCell ref="O868:Q868"/>
    <mergeCell ref="A869:B869"/>
    <mergeCell ref="E869:H869"/>
    <mergeCell ref="I869:K869"/>
    <mergeCell ref="O869:Q869"/>
    <mergeCell ref="A870:B870"/>
    <mergeCell ref="E870:H870"/>
    <mergeCell ref="I870:K870"/>
    <mergeCell ref="O870:Q870"/>
    <mergeCell ref="A871:B871"/>
    <mergeCell ref="E871:H871"/>
    <mergeCell ref="I871:K871"/>
    <mergeCell ref="O871:Q871"/>
    <mergeCell ref="A872:B872"/>
    <mergeCell ref="E872:H872"/>
    <mergeCell ref="I872:K872"/>
    <mergeCell ref="O872:Q872"/>
    <mergeCell ref="A873:B873"/>
    <mergeCell ref="E873:H873"/>
    <mergeCell ref="I873:K873"/>
    <mergeCell ref="O873:Q873"/>
    <mergeCell ref="A874:B874"/>
    <mergeCell ref="E874:H874"/>
    <mergeCell ref="I874:K874"/>
    <mergeCell ref="O874:Q874"/>
    <mergeCell ref="A875:B875"/>
    <mergeCell ref="E875:H875"/>
    <mergeCell ref="I875:K875"/>
    <mergeCell ref="O875:Q875"/>
    <mergeCell ref="A876:B876"/>
    <mergeCell ref="E876:H876"/>
    <mergeCell ref="I876:K876"/>
    <mergeCell ref="O876:Q876"/>
    <mergeCell ref="A877:B877"/>
    <mergeCell ref="E877:H877"/>
    <mergeCell ref="I877:K877"/>
    <mergeCell ref="O877:Q877"/>
    <mergeCell ref="A878:B878"/>
    <mergeCell ref="E878:H878"/>
    <mergeCell ref="I878:K878"/>
    <mergeCell ref="O878:Q878"/>
    <mergeCell ref="A879:B879"/>
    <mergeCell ref="E879:H879"/>
    <mergeCell ref="I879:K879"/>
    <mergeCell ref="O879:Q879"/>
    <mergeCell ref="A880:B880"/>
    <mergeCell ref="E880:H880"/>
    <mergeCell ref="I880:K880"/>
    <mergeCell ref="O880:Q880"/>
    <mergeCell ref="A881:B881"/>
    <mergeCell ref="E881:H881"/>
    <mergeCell ref="I881:K881"/>
    <mergeCell ref="O881:Q881"/>
    <mergeCell ref="A882:B882"/>
    <mergeCell ref="E882:H882"/>
    <mergeCell ref="I882:K882"/>
    <mergeCell ref="O882:Q882"/>
    <mergeCell ref="A883:B883"/>
    <mergeCell ref="E883:H883"/>
    <mergeCell ref="I883:K883"/>
    <mergeCell ref="O883:Q883"/>
    <mergeCell ref="A884:B884"/>
    <mergeCell ref="E884:H884"/>
    <mergeCell ref="I884:K884"/>
    <mergeCell ref="O884:Q884"/>
    <mergeCell ref="A885:B885"/>
    <mergeCell ref="E885:H885"/>
    <mergeCell ref="I885:K885"/>
    <mergeCell ref="O885:Q885"/>
    <mergeCell ref="A886:B886"/>
    <mergeCell ref="E886:H886"/>
    <mergeCell ref="I886:K886"/>
    <mergeCell ref="O886:Q886"/>
    <mergeCell ref="A887:B887"/>
    <mergeCell ref="E887:H887"/>
    <mergeCell ref="I887:K887"/>
    <mergeCell ref="O887:Q887"/>
    <mergeCell ref="A888:B888"/>
    <mergeCell ref="E888:H888"/>
    <mergeCell ref="I888:K888"/>
    <mergeCell ref="O888:Q888"/>
    <mergeCell ref="A889:B889"/>
    <mergeCell ref="E889:H889"/>
    <mergeCell ref="I889:K889"/>
    <mergeCell ref="O889:Q889"/>
    <mergeCell ref="A890:B890"/>
    <mergeCell ref="E890:H890"/>
    <mergeCell ref="I890:K890"/>
    <mergeCell ref="O890:Q890"/>
    <mergeCell ref="A891:B891"/>
    <mergeCell ref="E891:H891"/>
    <mergeCell ref="I891:K891"/>
    <mergeCell ref="O891:Q891"/>
    <mergeCell ref="A892:B892"/>
    <mergeCell ref="E892:H892"/>
    <mergeCell ref="I892:K892"/>
    <mergeCell ref="O892:Q892"/>
    <mergeCell ref="A893:B893"/>
    <mergeCell ref="E893:H893"/>
    <mergeCell ref="I893:K893"/>
    <mergeCell ref="O893:Q893"/>
    <mergeCell ref="A894:B894"/>
    <mergeCell ref="E894:H894"/>
    <mergeCell ref="I894:K894"/>
    <mergeCell ref="O894:Q894"/>
    <mergeCell ref="A895:B895"/>
    <mergeCell ref="E895:H895"/>
    <mergeCell ref="I895:K895"/>
    <mergeCell ref="O895:Q895"/>
    <mergeCell ref="A896:B896"/>
    <mergeCell ref="E896:H896"/>
    <mergeCell ref="I896:K896"/>
    <mergeCell ref="O896:Q896"/>
    <mergeCell ref="A897:B897"/>
    <mergeCell ref="E897:H897"/>
    <mergeCell ref="I897:K897"/>
    <mergeCell ref="O897:Q897"/>
    <mergeCell ref="A898:B898"/>
    <mergeCell ref="E898:H898"/>
    <mergeCell ref="I898:K898"/>
    <mergeCell ref="O898:Q898"/>
    <mergeCell ref="A899:B899"/>
    <mergeCell ref="E899:H899"/>
    <mergeCell ref="I899:K899"/>
    <mergeCell ref="O899:Q899"/>
    <mergeCell ref="A900:B900"/>
    <mergeCell ref="E900:H900"/>
    <mergeCell ref="I900:K900"/>
    <mergeCell ref="O900:Q900"/>
    <mergeCell ref="A901:B901"/>
    <mergeCell ref="E901:H901"/>
    <mergeCell ref="I901:K901"/>
    <mergeCell ref="O901:Q901"/>
    <mergeCell ref="A902:B902"/>
    <mergeCell ref="E902:H902"/>
    <mergeCell ref="I902:K902"/>
    <mergeCell ref="O902:Q902"/>
    <mergeCell ref="A903:B903"/>
    <mergeCell ref="E903:H903"/>
    <mergeCell ref="I903:K903"/>
    <mergeCell ref="O903:Q903"/>
    <mergeCell ref="A905:B905"/>
    <mergeCell ref="E905:H905"/>
    <mergeCell ref="I905:K905"/>
    <mergeCell ref="O905:Q905"/>
    <mergeCell ref="A904:B904"/>
    <mergeCell ref="E904:H904"/>
    <mergeCell ref="I904:K904"/>
    <mergeCell ref="O904:Q904"/>
    <mergeCell ref="A906:B906"/>
    <mergeCell ref="E906:H906"/>
    <mergeCell ref="I906:K906"/>
    <mergeCell ref="O906:Q906"/>
    <mergeCell ref="A907:B907"/>
    <mergeCell ref="E907:H907"/>
    <mergeCell ref="I907:K907"/>
    <mergeCell ref="O907:Q907"/>
    <mergeCell ref="A908:B908"/>
    <mergeCell ref="E908:H908"/>
    <mergeCell ref="I908:K908"/>
    <mergeCell ref="O908:Q908"/>
    <mergeCell ref="A909:B909"/>
    <mergeCell ref="E909:H909"/>
    <mergeCell ref="I909:K909"/>
    <mergeCell ref="O909:Q909"/>
    <mergeCell ref="A910:B910"/>
    <mergeCell ref="E910:H910"/>
    <mergeCell ref="I910:K910"/>
    <mergeCell ref="O910:Q910"/>
    <mergeCell ref="A911:B911"/>
    <mergeCell ref="E911:H911"/>
    <mergeCell ref="I911:K911"/>
    <mergeCell ref="O911:Q911"/>
    <mergeCell ref="A912:B912"/>
    <mergeCell ref="E912:H912"/>
    <mergeCell ref="I912:K912"/>
    <mergeCell ref="O912:Q912"/>
    <mergeCell ref="A913:B913"/>
    <mergeCell ref="E913:H913"/>
    <mergeCell ref="I913:K913"/>
    <mergeCell ref="O913:Q913"/>
    <mergeCell ref="A914:B914"/>
    <mergeCell ref="E914:H914"/>
    <mergeCell ref="I914:K914"/>
    <mergeCell ref="O914:Q914"/>
    <mergeCell ref="A915:B915"/>
    <mergeCell ref="E915:H915"/>
    <mergeCell ref="I915:K915"/>
    <mergeCell ref="O915:Q915"/>
    <mergeCell ref="A916:B916"/>
    <mergeCell ref="E916:H916"/>
    <mergeCell ref="I916:K916"/>
    <mergeCell ref="O916:Q916"/>
    <mergeCell ref="A917:B917"/>
    <mergeCell ref="E917:H917"/>
    <mergeCell ref="I917:K917"/>
    <mergeCell ref="O917:Q917"/>
    <mergeCell ref="A918:B918"/>
    <mergeCell ref="E918:H918"/>
    <mergeCell ref="I918:K918"/>
    <mergeCell ref="O918:Q918"/>
    <mergeCell ref="A919:B919"/>
    <mergeCell ref="E919:H919"/>
    <mergeCell ref="I919:K919"/>
    <mergeCell ref="O919:Q919"/>
    <mergeCell ref="A920:B920"/>
    <mergeCell ref="E920:H920"/>
    <mergeCell ref="I920:K920"/>
    <mergeCell ref="O920:Q920"/>
    <mergeCell ref="A921:B921"/>
    <mergeCell ref="E921:H921"/>
    <mergeCell ref="I921:K921"/>
    <mergeCell ref="O921:Q921"/>
    <mergeCell ref="A922:B922"/>
    <mergeCell ref="E922:H922"/>
    <mergeCell ref="I922:K922"/>
    <mergeCell ref="O922:Q922"/>
    <mergeCell ref="A923:B923"/>
    <mergeCell ref="E923:H923"/>
    <mergeCell ref="I923:K923"/>
    <mergeCell ref="O923:Q923"/>
    <mergeCell ref="A924:B924"/>
    <mergeCell ref="E924:H924"/>
    <mergeCell ref="I924:K924"/>
    <mergeCell ref="O924:Q924"/>
    <mergeCell ref="A925:B925"/>
    <mergeCell ref="E925:H925"/>
    <mergeCell ref="I925:K925"/>
    <mergeCell ref="O925:Q925"/>
    <mergeCell ref="A926:B926"/>
    <mergeCell ref="E926:H926"/>
    <mergeCell ref="I926:K926"/>
    <mergeCell ref="O926:Q926"/>
    <mergeCell ref="A927:B927"/>
    <mergeCell ref="E927:H927"/>
    <mergeCell ref="I927:K927"/>
    <mergeCell ref="O927:Q927"/>
    <mergeCell ref="A928:B928"/>
    <mergeCell ref="E928:H928"/>
    <mergeCell ref="I928:K928"/>
    <mergeCell ref="O928:Q928"/>
    <mergeCell ref="A929:B929"/>
    <mergeCell ref="E929:H929"/>
    <mergeCell ref="I929:K929"/>
    <mergeCell ref="O929:Q929"/>
    <mergeCell ref="A930:B930"/>
    <mergeCell ref="E930:H930"/>
    <mergeCell ref="I930:K930"/>
    <mergeCell ref="O930:Q930"/>
    <mergeCell ref="A931:B931"/>
    <mergeCell ref="E931:H931"/>
    <mergeCell ref="I931:K931"/>
    <mergeCell ref="O931:Q931"/>
    <mergeCell ref="A932:B932"/>
    <mergeCell ref="E932:H932"/>
    <mergeCell ref="I932:K932"/>
    <mergeCell ref="O932:Q932"/>
    <mergeCell ref="A933:B933"/>
    <mergeCell ref="E933:H933"/>
    <mergeCell ref="I933:K933"/>
    <mergeCell ref="O933:Q933"/>
    <mergeCell ref="A934:B934"/>
    <mergeCell ref="E934:H934"/>
    <mergeCell ref="I934:K934"/>
    <mergeCell ref="O934:Q934"/>
    <mergeCell ref="A935:B935"/>
    <mergeCell ref="E935:H935"/>
    <mergeCell ref="I935:K935"/>
    <mergeCell ref="O935:Q935"/>
    <mergeCell ref="A936:B936"/>
    <mergeCell ref="E936:H936"/>
    <mergeCell ref="I936:K936"/>
    <mergeCell ref="O936:Q936"/>
    <mergeCell ref="A937:B937"/>
    <mergeCell ref="E937:H937"/>
    <mergeCell ref="I937:K937"/>
    <mergeCell ref="O937:Q937"/>
    <mergeCell ref="A938:B938"/>
    <mergeCell ref="E938:H938"/>
    <mergeCell ref="I938:K938"/>
    <mergeCell ref="O938:Q938"/>
    <mergeCell ref="A939:B939"/>
    <mergeCell ref="E939:H939"/>
    <mergeCell ref="I939:K939"/>
    <mergeCell ref="O939:Q939"/>
    <mergeCell ref="A940:B940"/>
    <mergeCell ref="E940:H940"/>
    <mergeCell ref="I940:K940"/>
    <mergeCell ref="O940:Q940"/>
    <mergeCell ref="A941:B941"/>
    <mergeCell ref="E941:H941"/>
    <mergeCell ref="I941:K941"/>
    <mergeCell ref="O941:Q941"/>
    <mergeCell ref="A942:B942"/>
    <mergeCell ref="E942:H942"/>
    <mergeCell ref="I942:K942"/>
    <mergeCell ref="O942:Q942"/>
    <mergeCell ref="A943:B943"/>
    <mergeCell ref="E943:H943"/>
    <mergeCell ref="I943:K943"/>
    <mergeCell ref="O943:Q943"/>
    <mergeCell ref="A944:B944"/>
    <mergeCell ref="E944:H944"/>
    <mergeCell ref="I944:K944"/>
    <mergeCell ref="O944:Q944"/>
    <mergeCell ref="A945:B945"/>
    <mergeCell ref="E945:H945"/>
    <mergeCell ref="I945:K945"/>
    <mergeCell ref="O945:Q945"/>
    <mergeCell ref="A946:B946"/>
    <mergeCell ref="E946:H946"/>
    <mergeCell ref="I946:K946"/>
    <mergeCell ref="O946:Q946"/>
    <mergeCell ref="A947:B947"/>
    <mergeCell ref="E947:H947"/>
    <mergeCell ref="I947:K947"/>
    <mergeCell ref="O947:Q947"/>
    <mergeCell ref="A948:B948"/>
    <mergeCell ref="E948:H948"/>
    <mergeCell ref="I948:K948"/>
    <mergeCell ref="O948:Q948"/>
    <mergeCell ref="A949:B949"/>
    <mergeCell ref="E949:H949"/>
    <mergeCell ref="I949:K949"/>
    <mergeCell ref="O949:Q949"/>
    <mergeCell ref="A950:B950"/>
    <mergeCell ref="E950:H950"/>
    <mergeCell ref="I950:K950"/>
    <mergeCell ref="O950:Q950"/>
    <mergeCell ref="A951:B951"/>
    <mergeCell ref="E951:H951"/>
    <mergeCell ref="I951:K951"/>
    <mergeCell ref="O951:Q951"/>
    <mergeCell ref="A952:B952"/>
    <mergeCell ref="E952:H952"/>
    <mergeCell ref="I952:K952"/>
    <mergeCell ref="O952:Q952"/>
    <mergeCell ref="A953:B953"/>
    <mergeCell ref="E953:H953"/>
    <mergeCell ref="I953:K953"/>
    <mergeCell ref="O953:Q953"/>
    <mergeCell ref="A955:B955"/>
    <mergeCell ref="E955:H955"/>
    <mergeCell ref="I955:K955"/>
    <mergeCell ref="O955:Q955"/>
    <mergeCell ref="A954:B954"/>
    <mergeCell ref="E954:H954"/>
    <mergeCell ref="I954:K954"/>
    <mergeCell ref="O954:Q954"/>
    <mergeCell ref="A956:B956"/>
    <mergeCell ref="E956:H956"/>
    <mergeCell ref="I956:K956"/>
    <mergeCell ref="O956:Q956"/>
    <mergeCell ref="A957:B957"/>
    <mergeCell ref="E957:H957"/>
    <mergeCell ref="I957:K957"/>
    <mergeCell ref="O957:Q957"/>
    <mergeCell ref="A958:B958"/>
    <mergeCell ref="E958:H958"/>
    <mergeCell ref="I958:K958"/>
    <mergeCell ref="O958:Q958"/>
    <mergeCell ref="A959:B959"/>
    <mergeCell ref="E959:H959"/>
    <mergeCell ref="I959:K959"/>
    <mergeCell ref="O959:Q959"/>
    <mergeCell ref="A960:B960"/>
    <mergeCell ref="E960:H960"/>
    <mergeCell ref="I960:K960"/>
    <mergeCell ref="O960:Q960"/>
    <mergeCell ref="A961:B961"/>
    <mergeCell ref="E961:H961"/>
    <mergeCell ref="I961:K961"/>
    <mergeCell ref="O961:Q961"/>
    <mergeCell ref="A962:B962"/>
    <mergeCell ref="E962:H962"/>
    <mergeCell ref="I962:K962"/>
    <mergeCell ref="O962:Q962"/>
    <mergeCell ref="A963:B963"/>
    <mergeCell ref="E963:H963"/>
    <mergeCell ref="I963:K963"/>
    <mergeCell ref="O963:Q963"/>
    <mergeCell ref="A964:B964"/>
    <mergeCell ref="E964:H964"/>
    <mergeCell ref="I964:K964"/>
    <mergeCell ref="O964:Q964"/>
    <mergeCell ref="A965:B965"/>
    <mergeCell ref="E965:H965"/>
    <mergeCell ref="I965:K965"/>
    <mergeCell ref="O965:Q965"/>
    <mergeCell ref="A966:B966"/>
    <mergeCell ref="E966:H966"/>
    <mergeCell ref="I966:K966"/>
    <mergeCell ref="O966:Q966"/>
    <mergeCell ref="A967:B967"/>
    <mergeCell ref="E967:H967"/>
    <mergeCell ref="I967:K967"/>
    <mergeCell ref="O967:Q967"/>
    <mergeCell ref="A968:B968"/>
    <mergeCell ref="E968:H968"/>
    <mergeCell ref="I968:K968"/>
    <mergeCell ref="O968:Q968"/>
    <mergeCell ref="A969:B969"/>
    <mergeCell ref="E969:H969"/>
    <mergeCell ref="I969:K969"/>
    <mergeCell ref="O969:Q969"/>
    <mergeCell ref="A970:B970"/>
    <mergeCell ref="E970:H970"/>
    <mergeCell ref="I970:K970"/>
    <mergeCell ref="O970:Q970"/>
    <mergeCell ref="A971:B971"/>
    <mergeCell ref="E971:H971"/>
    <mergeCell ref="I971:K971"/>
    <mergeCell ref="O971:Q971"/>
    <mergeCell ref="A972:B972"/>
    <mergeCell ref="E972:H972"/>
    <mergeCell ref="I972:K972"/>
    <mergeCell ref="O972:Q972"/>
    <mergeCell ref="A973:B973"/>
    <mergeCell ref="E973:H973"/>
    <mergeCell ref="I973:K973"/>
    <mergeCell ref="O973:Q973"/>
    <mergeCell ref="A974:B974"/>
    <mergeCell ref="E974:H974"/>
    <mergeCell ref="I974:K974"/>
    <mergeCell ref="O974:Q974"/>
    <mergeCell ref="A975:B975"/>
    <mergeCell ref="E975:H975"/>
    <mergeCell ref="I975:K975"/>
    <mergeCell ref="O975:Q975"/>
    <mergeCell ref="A976:B976"/>
    <mergeCell ref="E976:H976"/>
    <mergeCell ref="I976:K976"/>
    <mergeCell ref="O976:Q976"/>
    <mergeCell ref="A977:B977"/>
    <mergeCell ref="E977:H977"/>
    <mergeCell ref="I977:K977"/>
    <mergeCell ref="O977:Q977"/>
    <mergeCell ref="A978:B978"/>
    <mergeCell ref="E978:H978"/>
    <mergeCell ref="I978:K978"/>
    <mergeCell ref="O978:Q978"/>
    <mergeCell ref="A979:B979"/>
    <mergeCell ref="E979:H979"/>
    <mergeCell ref="I979:K979"/>
    <mergeCell ref="O979:Q979"/>
    <mergeCell ref="A980:B980"/>
    <mergeCell ref="E980:H980"/>
    <mergeCell ref="I980:K980"/>
    <mergeCell ref="O980:Q980"/>
    <mergeCell ref="A981:B981"/>
    <mergeCell ref="E981:H981"/>
    <mergeCell ref="I981:K981"/>
    <mergeCell ref="O981:Q981"/>
    <mergeCell ref="A982:B982"/>
    <mergeCell ref="E982:H982"/>
    <mergeCell ref="I982:K982"/>
    <mergeCell ref="O982:Q982"/>
    <mergeCell ref="A983:B983"/>
    <mergeCell ref="E983:H983"/>
    <mergeCell ref="I983:K983"/>
    <mergeCell ref="O983:Q983"/>
    <mergeCell ref="A984:B984"/>
    <mergeCell ref="E984:H984"/>
    <mergeCell ref="I984:K984"/>
    <mergeCell ref="O984:Q984"/>
    <mergeCell ref="A985:B985"/>
    <mergeCell ref="E985:H985"/>
    <mergeCell ref="I985:K985"/>
    <mergeCell ref="O985:Q985"/>
    <mergeCell ref="A986:B986"/>
    <mergeCell ref="E986:H986"/>
    <mergeCell ref="I986:K986"/>
    <mergeCell ref="O986:Q986"/>
    <mergeCell ref="A987:B987"/>
    <mergeCell ref="E987:H987"/>
    <mergeCell ref="I987:K987"/>
    <mergeCell ref="O987:Q987"/>
    <mergeCell ref="A988:B988"/>
    <mergeCell ref="E988:H988"/>
    <mergeCell ref="I988:K988"/>
    <mergeCell ref="O988:Q988"/>
    <mergeCell ref="A989:B989"/>
    <mergeCell ref="E989:H989"/>
    <mergeCell ref="I989:K989"/>
    <mergeCell ref="O989:Q989"/>
    <mergeCell ref="A990:B990"/>
    <mergeCell ref="E990:H990"/>
    <mergeCell ref="I990:K990"/>
    <mergeCell ref="O990:Q990"/>
    <mergeCell ref="A991:B991"/>
    <mergeCell ref="E991:H991"/>
    <mergeCell ref="I991:K991"/>
    <mergeCell ref="O991:Q991"/>
    <mergeCell ref="A992:B992"/>
    <mergeCell ref="E992:H992"/>
    <mergeCell ref="I992:K992"/>
    <mergeCell ref="O992:Q992"/>
    <mergeCell ref="A993:B993"/>
    <mergeCell ref="E993:H993"/>
    <mergeCell ref="I993:K993"/>
    <mergeCell ref="O993:Q993"/>
    <mergeCell ref="A994:B994"/>
    <mergeCell ref="E994:H994"/>
    <mergeCell ref="I994:K994"/>
    <mergeCell ref="O994:Q994"/>
    <mergeCell ref="A995:B995"/>
    <mergeCell ref="E995:H995"/>
    <mergeCell ref="I995:K995"/>
    <mergeCell ref="O995:Q995"/>
    <mergeCell ref="A996:B996"/>
    <mergeCell ref="E996:H996"/>
    <mergeCell ref="I996:K996"/>
    <mergeCell ref="O996:Q996"/>
    <mergeCell ref="A997:B997"/>
    <mergeCell ref="E997:H997"/>
    <mergeCell ref="I997:K997"/>
    <mergeCell ref="O997:Q997"/>
    <mergeCell ref="A998:B998"/>
    <mergeCell ref="E998:H998"/>
    <mergeCell ref="I998:K998"/>
    <mergeCell ref="O998:Q998"/>
    <mergeCell ref="A999:B999"/>
    <mergeCell ref="E999:H999"/>
    <mergeCell ref="I999:K999"/>
    <mergeCell ref="O999:Q999"/>
    <mergeCell ref="A1000:B1000"/>
    <mergeCell ref="E1000:H1000"/>
    <mergeCell ref="I1000:K1000"/>
    <mergeCell ref="O1000:Q1000"/>
    <mergeCell ref="A1001:B1001"/>
    <mergeCell ref="E1001:H1001"/>
    <mergeCell ref="I1001:K1001"/>
    <mergeCell ref="O1001:Q1001"/>
    <mergeCell ref="A1002:B1002"/>
    <mergeCell ref="E1002:H1002"/>
    <mergeCell ref="I1002:K1002"/>
    <mergeCell ref="O1002:Q1002"/>
    <mergeCell ref="A1003:B1003"/>
    <mergeCell ref="E1003:H1003"/>
    <mergeCell ref="I1003:K1003"/>
    <mergeCell ref="O1003:Q1003"/>
    <mergeCell ref="A1005:B1005"/>
    <mergeCell ref="E1005:H1005"/>
    <mergeCell ref="I1005:K1005"/>
    <mergeCell ref="O1005:Q1005"/>
    <mergeCell ref="A1004:B1004"/>
    <mergeCell ref="E1004:H1004"/>
    <mergeCell ref="I1004:K1004"/>
    <mergeCell ref="O1004:Q1004"/>
    <mergeCell ref="A1006:B1006"/>
    <mergeCell ref="E1006:H1006"/>
    <mergeCell ref="I1006:K1006"/>
    <mergeCell ref="O1006:Q1006"/>
    <mergeCell ref="A1007:B1007"/>
    <mergeCell ref="E1007:H1007"/>
    <mergeCell ref="I1007:K1007"/>
    <mergeCell ref="O1007:Q1007"/>
    <mergeCell ref="A1008:B1008"/>
    <mergeCell ref="E1008:H1008"/>
    <mergeCell ref="I1008:K1008"/>
    <mergeCell ref="O1008:Q1008"/>
    <mergeCell ref="A1009:B1009"/>
    <mergeCell ref="E1009:H1009"/>
    <mergeCell ref="I1009:K1009"/>
    <mergeCell ref="O1009:Q1009"/>
    <mergeCell ref="A1010:B1010"/>
    <mergeCell ref="E1010:H1010"/>
    <mergeCell ref="I1010:K1010"/>
    <mergeCell ref="O1010:Q1010"/>
    <mergeCell ref="A1011:B1011"/>
    <mergeCell ref="E1011:H1011"/>
    <mergeCell ref="I1011:K1011"/>
    <mergeCell ref="O1011:Q1011"/>
    <mergeCell ref="A1012:B1012"/>
    <mergeCell ref="E1012:H1012"/>
    <mergeCell ref="I1012:K1012"/>
    <mergeCell ref="O1012:Q1012"/>
    <mergeCell ref="A1013:B1013"/>
    <mergeCell ref="E1013:H1013"/>
    <mergeCell ref="I1013:K1013"/>
    <mergeCell ref="O1013:Q1013"/>
    <mergeCell ref="A1014:B1014"/>
    <mergeCell ref="E1014:H1014"/>
    <mergeCell ref="I1014:K1014"/>
    <mergeCell ref="O1014:Q1014"/>
    <mergeCell ref="A1015:B1015"/>
    <mergeCell ref="E1015:H1015"/>
    <mergeCell ref="I1015:K1015"/>
    <mergeCell ref="O1015:Q1015"/>
    <mergeCell ref="A1016:B1016"/>
    <mergeCell ref="E1016:H1016"/>
    <mergeCell ref="I1016:K1016"/>
    <mergeCell ref="O1016:Q1016"/>
    <mergeCell ref="A1017:B1017"/>
    <mergeCell ref="E1017:H1017"/>
    <mergeCell ref="I1017:K1017"/>
    <mergeCell ref="O1017:Q1017"/>
    <mergeCell ref="A1018:B1018"/>
    <mergeCell ref="E1018:H1018"/>
    <mergeCell ref="I1018:K1018"/>
    <mergeCell ref="O1018:Q1018"/>
    <mergeCell ref="A1019:B1019"/>
    <mergeCell ref="E1019:H1019"/>
    <mergeCell ref="I1019:K1019"/>
    <mergeCell ref="O1019:Q1019"/>
    <mergeCell ref="A1020:B1020"/>
    <mergeCell ref="E1020:H1020"/>
    <mergeCell ref="I1020:K1020"/>
    <mergeCell ref="O1020:Q1020"/>
    <mergeCell ref="A1021:B1021"/>
    <mergeCell ref="E1021:H1021"/>
    <mergeCell ref="I1021:K1021"/>
    <mergeCell ref="O1021:Q1021"/>
    <mergeCell ref="A1022:B1022"/>
    <mergeCell ref="E1022:H1022"/>
    <mergeCell ref="I1022:K1022"/>
    <mergeCell ref="O1022:Q1022"/>
    <mergeCell ref="A1023:B1023"/>
    <mergeCell ref="E1023:H1023"/>
    <mergeCell ref="I1023:K1023"/>
    <mergeCell ref="O1023:Q1023"/>
    <mergeCell ref="A1024:B1024"/>
    <mergeCell ref="E1024:H1024"/>
    <mergeCell ref="I1024:K1024"/>
    <mergeCell ref="O1024:Q1024"/>
    <mergeCell ref="A1025:B1025"/>
    <mergeCell ref="E1025:H1025"/>
    <mergeCell ref="I1025:K1025"/>
    <mergeCell ref="O1025:Q1025"/>
    <mergeCell ref="A1026:B1026"/>
    <mergeCell ref="E1026:H1026"/>
    <mergeCell ref="I1026:K1026"/>
    <mergeCell ref="O1026:Q1026"/>
    <mergeCell ref="A1027:B1027"/>
    <mergeCell ref="E1027:H1027"/>
    <mergeCell ref="I1027:K1027"/>
    <mergeCell ref="O1027:Q1027"/>
    <mergeCell ref="A1028:B1028"/>
    <mergeCell ref="E1028:H1028"/>
    <mergeCell ref="I1028:K1028"/>
    <mergeCell ref="O1028:Q1028"/>
    <mergeCell ref="A1029:B1029"/>
    <mergeCell ref="E1029:H1029"/>
    <mergeCell ref="I1029:K1029"/>
    <mergeCell ref="O1029:Q1029"/>
    <mergeCell ref="A1030:B1030"/>
    <mergeCell ref="E1030:H1030"/>
    <mergeCell ref="I1030:K1030"/>
    <mergeCell ref="O1030:Q1030"/>
    <mergeCell ref="A1031:B1031"/>
    <mergeCell ref="E1031:H1031"/>
    <mergeCell ref="I1031:K1031"/>
    <mergeCell ref="O1031:Q1031"/>
    <mergeCell ref="A1032:B1032"/>
    <mergeCell ref="E1032:H1032"/>
    <mergeCell ref="I1032:K1032"/>
    <mergeCell ref="O1032:Q1032"/>
    <mergeCell ref="A1033:B1033"/>
    <mergeCell ref="E1033:H1033"/>
    <mergeCell ref="I1033:K1033"/>
    <mergeCell ref="O1033:Q1033"/>
    <mergeCell ref="A1034:B1034"/>
    <mergeCell ref="E1034:H1034"/>
    <mergeCell ref="I1034:K1034"/>
    <mergeCell ref="O1034:Q1034"/>
    <mergeCell ref="A1035:B1035"/>
    <mergeCell ref="E1035:H1035"/>
    <mergeCell ref="I1035:K1035"/>
    <mergeCell ref="O1035:Q1035"/>
    <mergeCell ref="A1036:B1036"/>
    <mergeCell ref="E1036:H1036"/>
    <mergeCell ref="I1036:K1036"/>
    <mergeCell ref="O1036:Q1036"/>
    <mergeCell ref="A1037:B1037"/>
    <mergeCell ref="E1037:H1037"/>
    <mergeCell ref="I1037:K1037"/>
    <mergeCell ref="O1037:Q1037"/>
    <mergeCell ref="A1038:B1038"/>
    <mergeCell ref="E1038:H1038"/>
    <mergeCell ref="I1038:K1038"/>
    <mergeCell ref="O1038:Q1038"/>
    <mergeCell ref="A1039:B1039"/>
    <mergeCell ref="E1039:H1039"/>
    <mergeCell ref="I1039:K1039"/>
    <mergeCell ref="O1039:Q1039"/>
    <mergeCell ref="A1040:B1040"/>
    <mergeCell ref="E1040:H1040"/>
    <mergeCell ref="I1040:K1040"/>
    <mergeCell ref="O1040:Q1040"/>
    <mergeCell ref="A1041:B1041"/>
    <mergeCell ref="E1041:H1041"/>
    <mergeCell ref="I1041:K1041"/>
    <mergeCell ref="O1041:Q1041"/>
    <mergeCell ref="A1042:B1042"/>
    <mergeCell ref="E1042:H1042"/>
    <mergeCell ref="I1042:K1042"/>
    <mergeCell ref="O1042:Q1042"/>
    <mergeCell ref="A1043:B1043"/>
    <mergeCell ref="E1043:H1043"/>
    <mergeCell ref="I1043:K1043"/>
    <mergeCell ref="O1043:Q1043"/>
    <mergeCell ref="A1044:B1044"/>
    <mergeCell ref="E1044:H1044"/>
    <mergeCell ref="I1044:K1044"/>
    <mergeCell ref="O1044:Q1044"/>
    <mergeCell ref="A1045:B1045"/>
    <mergeCell ref="E1045:H1045"/>
    <mergeCell ref="I1045:K1045"/>
    <mergeCell ref="O1045:Q1045"/>
    <mergeCell ref="A1046:B1046"/>
    <mergeCell ref="E1046:H1046"/>
    <mergeCell ref="I1046:K1046"/>
    <mergeCell ref="O1046:Q1046"/>
    <mergeCell ref="A1047:B1047"/>
    <mergeCell ref="E1047:H1047"/>
    <mergeCell ref="I1047:K1047"/>
    <mergeCell ref="O1047:Q1047"/>
    <mergeCell ref="A1048:B1048"/>
    <mergeCell ref="E1048:H1048"/>
    <mergeCell ref="I1048:K1048"/>
    <mergeCell ref="O1048:Q1048"/>
    <mergeCell ref="A1049:B1049"/>
    <mergeCell ref="E1049:H1049"/>
    <mergeCell ref="I1049:K1049"/>
    <mergeCell ref="O1049:Q1049"/>
    <mergeCell ref="A1050:B1050"/>
    <mergeCell ref="E1050:H1050"/>
    <mergeCell ref="I1050:K1050"/>
    <mergeCell ref="O1050:Q1050"/>
    <mergeCell ref="A1051:B1051"/>
    <mergeCell ref="E1051:H1051"/>
    <mergeCell ref="I1051:K1051"/>
    <mergeCell ref="O1051:Q1051"/>
    <mergeCell ref="A1052:B1052"/>
    <mergeCell ref="E1052:H1052"/>
    <mergeCell ref="I1052:K1052"/>
    <mergeCell ref="O1052:Q1052"/>
    <mergeCell ref="A1053:B1053"/>
    <mergeCell ref="E1053:H1053"/>
    <mergeCell ref="I1053:K1053"/>
    <mergeCell ref="O1053:Q1053"/>
    <mergeCell ref="A1055:B1055"/>
    <mergeCell ref="E1055:H1055"/>
    <mergeCell ref="I1055:K1055"/>
    <mergeCell ref="O1055:Q1055"/>
    <mergeCell ref="A1054:B1054"/>
    <mergeCell ref="E1054:H1054"/>
    <mergeCell ref="I1054:K1054"/>
    <mergeCell ref="O1054:Q1054"/>
    <mergeCell ref="A1056:B1056"/>
    <mergeCell ref="E1056:H1056"/>
    <mergeCell ref="I1056:K1056"/>
    <mergeCell ref="O1056:Q1056"/>
    <mergeCell ref="A1057:B1057"/>
    <mergeCell ref="E1057:H1057"/>
    <mergeCell ref="I1057:K1057"/>
    <mergeCell ref="O1057:Q1057"/>
    <mergeCell ref="A1058:B1058"/>
    <mergeCell ref="E1058:H1058"/>
    <mergeCell ref="I1058:K1058"/>
    <mergeCell ref="O1058:Q1058"/>
    <mergeCell ref="A1059:B1059"/>
    <mergeCell ref="E1059:H1059"/>
    <mergeCell ref="I1059:K1059"/>
    <mergeCell ref="O1059:Q1059"/>
    <mergeCell ref="A1060:B1060"/>
    <mergeCell ref="E1060:H1060"/>
    <mergeCell ref="I1060:K1060"/>
    <mergeCell ref="O1060:Q1060"/>
    <mergeCell ref="A1061:B1061"/>
    <mergeCell ref="E1061:H1061"/>
    <mergeCell ref="I1061:K1061"/>
    <mergeCell ref="O1061:Q1061"/>
    <mergeCell ref="A1062:B1062"/>
    <mergeCell ref="E1062:H1062"/>
    <mergeCell ref="I1062:K1062"/>
    <mergeCell ref="O1062:Q1062"/>
    <mergeCell ref="A1063:B1063"/>
    <mergeCell ref="E1063:H1063"/>
    <mergeCell ref="I1063:K1063"/>
    <mergeCell ref="O1063:Q1063"/>
    <mergeCell ref="A1064:B1064"/>
    <mergeCell ref="E1064:H1064"/>
    <mergeCell ref="I1064:K1064"/>
    <mergeCell ref="O1064:Q1064"/>
    <mergeCell ref="A1065:B1065"/>
    <mergeCell ref="E1065:H1065"/>
    <mergeCell ref="I1065:K1065"/>
    <mergeCell ref="O1065:Q1065"/>
    <mergeCell ref="A1066:B1066"/>
    <mergeCell ref="E1066:H1066"/>
    <mergeCell ref="I1066:K1066"/>
    <mergeCell ref="O1066:Q1066"/>
    <mergeCell ref="A1067:B1067"/>
    <mergeCell ref="E1067:H1067"/>
    <mergeCell ref="I1067:K1067"/>
    <mergeCell ref="O1067:Q1067"/>
    <mergeCell ref="A1068:B1068"/>
    <mergeCell ref="E1068:H1068"/>
    <mergeCell ref="I1068:K1068"/>
    <mergeCell ref="O1068:Q1068"/>
    <mergeCell ref="A1069:B1069"/>
    <mergeCell ref="E1069:H1069"/>
    <mergeCell ref="I1069:K1069"/>
    <mergeCell ref="O1069:Q1069"/>
    <mergeCell ref="A1070:B1070"/>
    <mergeCell ref="E1070:H1070"/>
    <mergeCell ref="I1070:K1070"/>
    <mergeCell ref="O1070:Q1070"/>
    <mergeCell ref="A1071:B1071"/>
    <mergeCell ref="E1071:H1071"/>
    <mergeCell ref="I1071:K1071"/>
    <mergeCell ref="O1071:Q1071"/>
    <mergeCell ref="A1072:B1072"/>
    <mergeCell ref="E1072:H1072"/>
    <mergeCell ref="I1072:K1072"/>
    <mergeCell ref="O1072:Q1072"/>
    <mergeCell ref="A1073:B1073"/>
    <mergeCell ref="E1073:H1073"/>
    <mergeCell ref="I1073:K1073"/>
    <mergeCell ref="O1073:Q1073"/>
    <mergeCell ref="A1074:B1074"/>
    <mergeCell ref="E1074:H1074"/>
    <mergeCell ref="I1074:K1074"/>
    <mergeCell ref="O1074:Q1074"/>
    <mergeCell ref="A1075:B1075"/>
    <mergeCell ref="E1075:H1075"/>
    <mergeCell ref="I1075:K1075"/>
    <mergeCell ref="O1075:Q1075"/>
    <mergeCell ref="A1076:B1076"/>
    <mergeCell ref="E1076:H1076"/>
    <mergeCell ref="I1076:K1076"/>
    <mergeCell ref="O1076:Q1076"/>
    <mergeCell ref="A1077:B1077"/>
    <mergeCell ref="E1077:H1077"/>
    <mergeCell ref="I1077:K1077"/>
    <mergeCell ref="O1077:Q1077"/>
    <mergeCell ref="A1078:B1078"/>
    <mergeCell ref="E1078:H1078"/>
    <mergeCell ref="I1078:K1078"/>
    <mergeCell ref="O1078:Q1078"/>
    <mergeCell ref="A1079:B1079"/>
    <mergeCell ref="E1079:H1079"/>
    <mergeCell ref="I1079:K1079"/>
    <mergeCell ref="O1079:Q1079"/>
    <mergeCell ref="A1080:B1080"/>
    <mergeCell ref="E1080:H1080"/>
    <mergeCell ref="I1080:K1080"/>
    <mergeCell ref="O1080:Q1080"/>
    <mergeCell ref="A1081:B1081"/>
    <mergeCell ref="E1081:H1081"/>
    <mergeCell ref="I1081:K1081"/>
    <mergeCell ref="O1081:Q1081"/>
    <mergeCell ref="A1082:B1082"/>
    <mergeCell ref="E1082:H1082"/>
    <mergeCell ref="I1082:K1082"/>
    <mergeCell ref="O1082:Q1082"/>
    <mergeCell ref="A1084:G1084"/>
    <mergeCell ref="O1084:Q1084"/>
    <mergeCell ref="B1085:H1085"/>
    <mergeCell ref="O1085:Q1085"/>
    <mergeCell ref="A1086:G1086"/>
    <mergeCell ref="M1086:M1087"/>
    <mergeCell ref="O1086:Q1087"/>
    <mergeCell ref="R1086:R1087"/>
    <mergeCell ref="S1086:S1087"/>
    <mergeCell ref="A1089:T1089"/>
    <mergeCell ref="A1092:B1092"/>
    <mergeCell ref="E1092:H1092"/>
    <mergeCell ref="I1092:K1092"/>
    <mergeCell ref="O1092:Q1092"/>
    <mergeCell ref="A1093:B1093"/>
    <mergeCell ref="E1093:H1093"/>
    <mergeCell ref="I1093:K1093"/>
    <mergeCell ref="O1093:Q1093"/>
    <mergeCell ref="A1094:B1094"/>
    <mergeCell ref="E1094:H1094"/>
    <mergeCell ref="I1094:K1094"/>
    <mergeCell ref="O1094:Q1094"/>
    <mergeCell ref="A1095:B1095"/>
    <mergeCell ref="E1095:H1095"/>
    <mergeCell ref="I1095:K1095"/>
    <mergeCell ref="O1095:Q1095"/>
    <mergeCell ref="A1096:B1096"/>
    <mergeCell ref="E1096:H1096"/>
    <mergeCell ref="I1096:K1096"/>
    <mergeCell ref="O1096:Q1096"/>
    <mergeCell ref="A1097:B1097"/>
    <mergeCell ref="E1097:H1097"/>
    <mergeCell ref="I1097:K1097"/>
    <mergeCell ref="O1097:Q1097"/>
    <mergeCell ref="A1098:B1098"/>
    <mergeCell ref="E1098:H1098"/>
    <mergeCell ref="I1098:K1098"/>
    <mergeCell ref="O1098:Q1098"/>
    <mergeCell ref="A1099:B1099"/>
    <mergeCell ref="E1099:H1099"/>
    <mergeCell ref="I1099:K1099"/>
    <mergeCell ref="O1099:Q1099"/>
    <mergeCell ref="A1100:B1100"/>
    <mergeCell ref="E1100:H1100"/>
    <mergeCell ref="I1100:K1100"/>
    <mergeCell ref="O1100:Q1100"/>
    <mergeCell ref="A1101:B1101"/>
    <mergeCell ref="E1101:H1101"/>
    <mergeCell ref="I1101:K1101"/>
    <mergeCell ref="O1101:Q1101"/>
    <mergeCell ref="A1102:B1102"/>
    <mergeCell ref="E1102:H1102"/>
    <mergeCell ref="I1102:K1102"/>
    <mergeCell ref="O1102:Q1102"/>
    <mergeCell ref="A1103:B1103"/>
    <mergeCell ref="E1103:H1103"/>
    <mergeCell ref="I1103:K1103"/>
    <mergeCell ref="O1103:Q1103"/>
    <mergeCell ref="A1104:B1104"/>
    <mergeCell ref="E1104:H1104"/>
    <mergeCell ref="I1104:K1104"/>
    <mergeCell ref="O1104:Q1104"/>
    <mergeCell ref="A1105:B1105"/>
    <mergeCell ref="E1105:H1105"/>
    <mergeCell ref="I1105:K1105"/>
    <mergeCell ref="O1105:Q1105"/>
    <mergeCell ref="A1106:B1106"/>
    <mergeCell ref="E1106:H1106"/>
    <mergeCell ref="I1106:K1106"/>
    <mergeCell ref="O1106:Q1106"/>
    <mergeCell ref="A1108:B1108"/>
    <mergeCell ref="E1108:H1108"/>
    <mergeCell ref="I1108:K1108"/>
    <mergeCell ref="O1108:Q1108"/>
    <mergeCell ref="A1107:B1107"/>
    <mergeCell ref="E1107:H1107"/>
    <mergeCell ref="I1107:K1107"/>
    <mergeCell ref="O1107:Q1107"/>
    <mergeCell ref="A1109:B1109"/>
    <mergeCell ref="E1109:H1109"/>
    <mergeCell ref="I1109:K1109"/>
    <mergeCell ref="O1109:Q1109"/>
    <mergeCell ref="A1110:B1110"/>
    <mergeCell ref="E1110:H1110"/>
    <mergeCell ref="I1110:K1110"/>
    <mergeCell ref="O1110:Q1110"/>
    <mergeCell ref="A1111:B1111"/>
    <mergeCell ref="E1111:H1111"/>
    <mergeCell ref="I1111:K1111"/>
    <mergeCell ref="O1111:Q1111"/>
    <mergeCell ref="A1112:B1112"/>
    <mergeCell ref="E1112:H1112"/>
    <mergeCell ref="I1112:K1112"/>
    <mergeCell ref="O1112:Q1112"/>
    <mergeCell ref="A1113:B1113"/>
    <mergeCell ref="E1113:H1113"/>
    <mergeCell ref="I1113:K1113"/>
    <mergeCell ref="O1113:Q1113"/>
    <mergeCell ref="A1115:G1115"/>
    <mergeCell ref="O1115:Q1115"/>
    <mergeCell ref="B1116:H1116"/>
    <mergeCell ref="O1116:Q1116"/>
    <mergeCell ref="A1117:G1117"/>
    <mergeCell ref="M1117:M1118"/>
    <mergeCell ref="O1117:Q1118"/>
    <mergeCell ref="R1117:R1118"/>
    <mergeCell ref="S1117:S1118"/>
    <mergeCell ref="A1120:T1120"/>
    <mergeCell ref="A1123:B1123"/>
    <mergeCell ref="E1123:H1123"/>
    <mergeCell ref="I1123:K1123"/>
    <mergeCell ref="O1123:Q1123"/>
    <mergeCell ref="A1124:B1124"/>
    <mergeCell ref="E1124:H1124"/>
    <mergeCell ref="I1124:K1124"/>
    <mergeCell ref="O1124:Q1124"/>
    <mergeCell ref="A1125:B1125"/>
    <mergeCell ref="E1125:H1125"/>
    <mergeCell ref="I1125:K1125"/>
    <mergeCell ref="O1125:Q1125"/>
    <mergeCell ref="A1126:B1126"/>
    <mergeCell ref="E1126:H1126"/>
    <mergeCell ref="I1126:K1126"/>
    <mergeCell ref="O1126:Q1126"/>
    <mergeCell ref="A1127:B1127"/>
    <mergeCell ref="E1127:H1127"/>
    <mergeCell ref="I1127:K1127"/>
    <mergeCell ref="O1127:Q1127"/>
    <mergeCell ref="A1128:B1128"/>
    <mergeCell ref="E1128:H1128"/>
    <mergeCell ref="I1128:K1128"/>
    <mergeCell ref="O1128:Q1128"/>
    <mergeCell ref="A1129:B1129"/>
    <mergeCell ref="E1129:H1129"/>
    <mergeCell ref="I1129:K1129"/>
    <mergeCell ref="O1129:Q1129"/>
    <mergeCell ref="A1130:B1130"/>
    <mergeCell ref="E1130:H1130"/>
    <mergeCell ref="I1130:K1130"/>
    <mergeCell ref="O1130:Q1130"/>
    <mergeCell ref="A1131:B1131"/>
    <mergeCell ref="E1131:H1131"/>
    <mergeCell ref="I1131:K1131"/>
    <mergeCell ref="O1131:Q1131"/>
    <mergeCell ref="A1132:B1132"/>
    <mergeCell ref="E1132:H1132"/>
    <mergeCell ref="I1132:K1132"/>
    <mergeCell ref="O1132:Q1132"/>
    <mergeCell ref="A1133:B1133"/>
    <mergeCell ref="E1133:H1133"/>
    <mergeCell ref="I1133:K1133"/>
    <mergeCell ref="O1133:Q1133"/>
    <mergeCell ref="A1134:B1134"/>
    <mergeCell ref="E1134:H1134"/>
    <mergeCell ref="I1134:K1134"/>
    <mergeCell ref="O1134:Q1134"/>
    <mergeCell ref="A1135:B1135"/>
    <mergeCell ref="E1135:H1135"/>
    <mergeCell ref="I1135:K1135"/>
    <mergeCell ref="O1135:Q1135"/>
    <mergeCell ref="A1136:B1136"/>
    <mergeCell ref="E1136:H1136"/>
    <mergeCell ref="I1136:K1136"/>
    <mergeCell ref="O1136:Q1136"/>
    <mergeCell ref="A1137:B1137"/>
    <mergeCell ref="E1137:H1137"/>
    <mergeCell ref="I1137:K1137"/>
    <mergeCell ref="O1137:Q1137"/>
    <mergeCell ref="A1138:B1138"/>
    <mergeCell ref="E1138:H1138"/>
    <mergeCell ref="I1138:K1138"/>
    <mergeCell ref="O1138:Q1138"/>
    <mergeCell ref="A1140:G1140"/>
    <mergeCell ref="O1140:Q1140"/>
    <mergeCell ref="B1141:H1141"/>
    <mergeCell ref="O1141:Q1141"/>
    <mergeCell ref="A1142:G1142"/>
    <mergeCell ref="M1142:M1143"/>
    <mergeCell ref="O1142:Q1143"/>
    <mergeCell ref="A1153:B1153"/>
    <mergeCell ref="E1153:H1153"/>
    <mergeCell ref="I1153:K1153"/>
    <mergeCell ref="O1153:Q1153"/>
    <mergeCell ref="A1158:B1158"/>
    <mergeCell ref="E1158:H1158"/>
    <mergeCell ref="I1158:K1158"/>
    <mergeCell ref="O1158:Q1158"/>
    <mergeCell ref="A1155:B1155"/>
    <mergeCell ref="E1155:H1155"/>
    <mergeCell ref="I1155:K1155"/>
    <mergeCell ref="O1155:Q1155"/>
    <mergeCell ref="S1142:S1143"/>
    <mergeCell ref="A1145:T1145"/>
    <mergeCell ref="A1148:B1148"/>
    <mergeCell ref="E1148:H1148"/>
    <mergeCell ref="I1148:K1148"/>
    <mergeCell ref="O1148:Q1148"/>
    <mergeCell ref="A1150:B1150"/>
    <mergeCell ref="E1150:H1150"/>
    <mergeCell ref="I1150:K1150"/>
    <mergeCell ref="O1150:Q1150"/>
    <mergeCell ref="R1142:R1143"/>
    <mergeCell ref="A1152:B1152"/>
    <mergeCell ref="E1152:H1152"/>
    <mergeCell ref="I1152:K1152"/>
    <mergeCell ref="O1152:Q1152"/>
    <mergeCell ref="A1149:B1149"/>
    <mergeCell ref="E1149:H1149"/>
    <mergeCell ref="I1149:K1149"/>
    <mergeCell ref="O1149:Q1149"/>
    <mergeCell ref="A1160:B1160"/>
    <mergeCell ref="E1160:H1160"/>
    <mergeCell ref="I1160:K1160"/>
    <mergeCell ref="O1160:Q1160"/>
    <mergeCell ref="A1157:B1157"/>
    <mergeCell ref="E1157:H1157"/>
    <mergeCell ref="I1157:K1157"/>
    <mergeCell ref="O1157:Q1157"/>
    <mergeCell ref="A1162:B1162"/>
    <mergeCell ref="E1162:H1162"/>
    <mergeCell ref="I1162:K1162"/>
    <mergeCell ref="O1162:Q1162"/>
    <mergeCell ref="A1159:B1159"/>
    <mergeCell ref="E1159:H1159"/>
    <mergeCell ref="I1159:K1159"/>
    <mergeCell ref="O1159:Q1159"/>
    <mergeCell ref="U764:V764"/>
    <mergeCell ref="U1084:V1084"/>
    <mergeCell ref="U1115:V1115"/>
    <mergeCell ref="U1140:V1140"/>
    <mergeCell ref="A1154:B1154"/>
    <mergeCell ref="E1154:H1154"/>
    <mergeCell ref="I1154:K1154"/>
    <mergeCell ref="O1154:Q1154"/>
    <mergeCell ref="A1151:B1151"/>
    <mergeCell ref="E1151:H1151"/>
    <mergeCell ref="I1151:K1151"/>
    <mergeCell ref="O1151:Q1151"/>
    <mergeCell ref="A1156:B1156"/>
    <mergeCell ref="E1156:H1156"/>
    <mergeCell ref="I1156:K1156"/>
    <mergeCell ref="O1156:Q1156"/>
    <mergeCell ref="E1164:H1164"/>
    <mergeCell ref="I1164:K1164"/>
    <mergeCell ref="O1164:Q1164"/>
    <mergeCell ref="A1165:B1165"/>
    <mergeCell ref="E1165:H1165"/>
    <mergeCell ref="I1165:K1165"/>
    <mergeCell ref="O1165:Q1165"/>
    <mergeCell ref="A1166:B1166"/>
    <mergeCell ref="E1166:H1166"/>
    <mergeCell ref="I1166:K1166"/>
    <mergeCell ref="O1166:Q1166"/>
    <mergeCell ref="A1167:B1167"/>
    <mergeCell ref="E1167:H1167"/>
    <mergeCell ref="I1167:K1167"/>
    <mergeCell ref="O1167:Q1167"/>
    <mergeCell ref="A1168:B1168"/>
    <mergeCell ref="E1168:H1168"/>
    <mergeCell ref="A1179:G1179"/>
    <mergeCell ref="O1179:Q1179"/>
    <mergeCell ref="B1180:H1180"/>
    <mergeCell ref="O1180:Q1180"/>
    <mergeCell ref="A1181:G1181"/>
    <mergeCell ref="O1181:Q1181"/>
    <mergeCell ref="A1182:S1182"/>
    <mergeCell ref="I1168:K1168"/>
    <mergeCell ref="O1168:Q1168"/>
    <mergeCell ref="A1169:B1169"/>
    <mergeCell ref="E1169:H1169"/>
    <mergeCell ref="I1169:K1169"/>
    <mergeCell ref="O1169:Q1169"/>
    <mergeCell ref="A1170:B1170"/>
    <mergeCell ref="E1170:H1170"/>
    <mergeCell ref="I1170:K1170"/>
    <mergeCell ref="O1170:Q1170"/>
    <mergeCell ref="A1171:B1171"/>
    <mergeCell ref="E1171:H1171"/>
    <mergeCell ref="I1171:K1171"/>
    <mergeCell ref="O1171:Q1171"/>
    <mergeCell ref="A1172:B1172"/>
    <mergeCell ref="E1172:H1172"/>
    <mergeCell ref="I1172:K1172"/>
    <mergeCell ref="O1172:Q1172"/>
    <mergeCell ref="U20:V20"/>
    <mergeCell ref="U32:V32"/>
    <mergeCell ref="U57:V57"/>
    <mergeCell ref="U69:V69"/>
    <mergeCell ref="U147:V147"/>
    <mergeCell ref="U158:V158"/>
    <mergeCell ref="U451:V451"/>
    <mergeCell ref="A1174:G1174"/>
    <mergeCell ref="O1174:Q1174"/>
    <mergeCell ref="B1175:H1175"/>
    <mergeCell ref="O1175:Q1175"/>
    <mergeCell ref="A1176:G1176"/>
    <mergeCell ref="M1176:M1177"/>
    <mergeCell ref="O1176:Q1177"/>
    <mergeCell ref="R1176:R1177"/>
    <mergeCell ref="S1176:S1177"/>
    <mergeCell ref="A1178:S1178"/>
    <mergeCell ref="U1174:V1174"/>
    <mergeCell ref="A1161:B1161"/>
    <mergeCell ref="E1161:H1161"/>
    <mergeCell ref="I1161:K1161"/>
    <mergeCell ref="O1161:Q1161"/>
    <mergeCell ref="A1163:B1163"/>
    <mergeCell ref="E1163:H1163"/>
    <mergeCell ref="I1163:K1163"/>
    <mergeCell ref="O1163:Q1163"/>
    <mergeCell ref="U534:V534"/>
    <mergeCell ref="U677:V677"/>
    <mergeCell ref="U689:V689"/>
    <mergeCell ref="U707:V707"/>
    <mergeCell ref="U718:V718"/>
    <mergeCell ref="A1164:B1164"/>
  </mergeCells>
  <pageMargins left="0.25" right="0.25" top="0.25" bottom="0.25" header="0" footer="0"/>
  <pageSetup scale="73" fitToWidth="0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4"/>
  <sheetViews>
    <sheetView workbookViewId="0">
      <selection activeCell="A4" sqref="A4:G4"/>
    </sheetView>
  </sheetViews>
  <sheetFormatPr defaultRowHeight="15" x14ac:dyDescent="0.25"/>
  <cols>
    <col min="1" max="5" width="8.85546875" style="86"/>
    <col min="6" max="6" width="33.28515625" style="86" customWidth="1"/>
    <col min="7" max="7" width="13.28515625" style="86" bestFit="1" customWidth="1"/>
    <col min="8" max="261" width="8.85546875" style="86"/>
    <col min="262" max="262" width="33.28515625" style="86" customWidth="1"/>
    <col min="263" max="263" width="13.28515625" style="86" bestFit="1" customWidth="1"/>
    <col min="264" max="517" width="8.85546875" style="86"/>
    <col min="518" max="518" width="33.28515625" style="86" customWidth="1"/>
    <col min="519" max="519" width="13.28515625" style="86" bestFit="1" customWidth="1"/>
    <col min="520" max="773" width="8.85546875" style="86"/>
    <col min="774" max="774" width="33.28515625" style="86" customWidth="1"/>
    <col min="775" max="775" width="13.28515625" style="86" bestFit="1" customWidth="1"/>
    <col min="776" max="1029" width="8.85546875" style="86"/>
    <col min="1030" max="1030" width="33.28515625" style="86" customWidth="1"/>
    <col min="1031" max="1031" width="13.28515625" style="86" bestFit="1" customWidth="1"/>
    <col min="1032" max="1285" width="8.85546875" style="86"/>
    <col min="1286" max="1286" width="33.28515625" style="86" customWidth="1"/>
    <col min="1287" max="1287" width="13.28515625" style="86" bestFit="1" customWidth="1"/>
    <col min="1288" max="1541" width="8.85546875" style="86"/>
    <col min="1542" max="1542" width="33.28515625" style="86" customWidth="1"/>
    <col min="1543" max="1543" width="13.28515625" style="86" bestFit="1" customWidth="1"/>
    <col min="1544" max="1797" width="8.85546875" style="86"/>
    <col min="1798" max="1798" width="33.28515625" style="86" customWidth="1"/>
    <col min="1799" max="1799" width="13.28515625" style="86" bestFit="1" customWidth="1"/>
    <col min="1800" max="2053" width="8.85546875" style="86"/>
    <col min="2054" max="2054" width="33.28515625" style="86" customWidth="1"/>
    <col min="2055" max="2055" width="13.28515625" style="86" bestFit="1" customWidth="1"/>
    <col min="2056" max="2309" width="8.85546875" style="86"/>
    <col min="2310" max="2310" width="33.28515625" style="86" customWidth="1"/>
    <col min="2311" max="2311" width="13.28515625" style="86" bestFit="1" customWidth="1"/>
    <col min="2312" max="2565" width="8.85546875" style="86"/>
    <col min="2566" max="2566" width="33.28515625" style="86" customWidth="1"/>
    <col min="2567" max="2567" width="13.28515625" style="86" bestFit="1" customWidth="1"/>
    <col min="2568" max="2821" width="8.85546875" style="86"/>
    <col min="2822" max="2822" width="33.28515625" style="86" customWidth="1"/>
    <col min="2823" max="2823" width="13.28515625" style="86" bestFit="1" customWidth="1"/>
    <col min="2824" max="3077" width="8.85546875" style="86"/>
    <col min="3078" max="3078" width="33.28515625" style="86" customWidth="1"/>
    <col min="3079" max="3079" width="13.28515625" style="86" bestFit="1" customWidth="1"/>
    <col min="3080" max="3333" width="8.85546875" style="86"/>
    <col min="3334" max="3334" width="33.28515625" style="86" customWidth="1"/>
    <col min="3335" max="3335" width="13.28515625" style="86" bestFit="1" customWidth="1"/>
    <col min="3336" max="3589" width="8.85546875" style="86"/>
    <col min="3590" max="3590" width="33.28515625" style="86" customWidth="1"/>
    <col min="3591" max="3591" width="13.28515625" style="86" bestFit="1" customWidth="1"/>
    <col min="3592" max="3845" width="8.85546875" style="86"/>
    <col min="3846" max="3846" width="33.28515625" style="86" customWidth="1"/>
    <col min="3847" max="3847" width="13.28515625" style="86" bestFit="1" customWidth="1"/>
    <col min="3848" max="4101" width="8.85546875" style="86"/>
    <col min="4102" max="4102" width="33.28515625" style="86" customWidth="1"/>
    <col min="4103" max="4103" width="13.28515625" style="86" bestFit="1" customWidth="1"/>
    <col min="4104" max="4357" width="8.85546875" style="86"/>
    <col min="4358" max="4358" width="33.28515625" style="86" customWidth="1"/>
    <col min="4359" max="4359" width="13.28515625" style="86" bestFit="1" customWidth="1"/>
    <col min="4360" max="4613" width="8.85546875" style="86"/>
    <col min="4614" max="4614" width="33.28515625" style="86" customWidth="1"/>
    <col min="4615" max="4615" width="13.28515625" style="86" bestFit="1" customWidth="1"/>
    <col min="4616" max="4869" width="8.85546875" style="86"/>
    <col min="4870" max="4870" width="33.28515625" style="86" customWidth="1"/>
    <col min="4871" max="4871" width="13.28515625" style="86" bestFit="1" customWidth="1"/>
    <col min="4872" max="5125" width="8.85546875" style="86"/>
    <col min="5126" max="5126" width="33.28515625" style="86" customWidth="1"/>
    <col min="5127" max="5127" width="13.28515625" style="86" bestFit="1" customWidth="1"/>
    <col min="5128" max="5381" width="8.85546875" style="86"/>
    <col min="5382" max="5382" width="33.28515625" style="86" customWidth="1"/>
    <col min="5383" max="5383" width="13.28515625" style="86" bestFit="1" customWidth="1"/>
    <col min="5384" max="5637" width="8.85546875" style="86"/>
    <col min="5638" max="5638" width="33.28515625" style="86" customWidth="1"/>
    <col min="5639" max="5639" width="13.28515625" style="86" bestFit="1" customWidth="1"/>
    <col min="5640" max="5893" width="8.85546875" style="86"/>
    <col min="5894" max="5894" width="33.28515625" style="86" customWidth="1"/>
    <col min="5895" max="5895" width="13.28515625" style="86" bestFit="1" customWidth="1"/>
    <col min="5896" max="6149" width="8.85546875" style="86"/>
    <col min="6150" max="6150" width="33.28515625" style="86" customWidth="1"/>
    <col min="6151" max="6151" width="13.28515625" style="86" bestFit="1" customWidth="1"/>
    <col min="6152" max="6405" width="8.85546875" style="86"/>
    <col min="6406" max="6406" width="33.28515625" style="86" customWidth="1"/>
    <col min="6407" max="6407" width="13.28515625" style="86" bestFit="1" customWidth="1"/>
    <col min="6408" max="6661" width="8.85546875" style="86"/>
    <col min="6662" max="6662" width="33.28515625" style="86" customWidth="1"/>
    <col min="6663" max="6663" width="13.28515625" style="86" bestFit="1" customWidth="1"/>
    <col min="6664" max="6917" width="8.85546875" style="86"/>
    <col min="6918" max="6918" width="33.28515625" style="86" customWidth="1"/>
    <col min="6919" max="6919" width="13.28515625" style="86" bestFit="1" customWidth="1"/>
    <col min="6920" max="7173" width="8.85546875" style="86"/>
    <col min="7174" max="7174" width="33.28515625" style="86" customWidth="1"/>
    <col min="7175" max="7175" width="13.28515625" style="86" bestFit="1" customWidth="1"/>
    <col min="7176" max="7429" width="8.85546875" style="86"/>
    <col min="7430" max="7430" width="33.28515625" style="86" customWidth="1"/>
    <col min="7431" max="7431" width="13.28515625" style="86" bestFit="1" customWidth="1"/>
    <col min="7432" max="7685" width="8.85546875" style="86"/>
    <col min="7686" max="7686" width="33.28515625" style="86" customWidth="1"/>
    <col min="7687" max="7687" width="13.28515625" style="86" bestFit="1" customWidth="1"/>
    <col min="7688" max="7941" width="8.85546875" style="86"/>
    <col min="7942" max="7942" width="33.28515625" style="86" customWidth="1"/>
    <col min="7943" max="7943" width="13.28515625" style="86" bestFit="1" customWidth="1"/>
    <col min="7944" max="8197" width="8.85546875" style="86"/>
    <col min="8198" max="8198" width="33.28515625" style="86" customWidth="1"/>
    <col min="8199" max="8199" width="13.28515625" style="86" bestFit="1" customWidth="1"/>
    <col min="8200" max="8453" width="8.85546875" style="86"/>
    <col min="8454" max="8454" width="33.28515625" style="86" customWidth="1"/>
    <col min="8455" max="8455" width="13.28515625" style="86" bestFit="1" customWidth="1"/>
    <col min="8456" max="8709" width="8.85546875" style="86"/>
    <col min="8710" max="8710" width="33.28515625" style="86" customWidth="1"/>
    <col min="8711" max="8711" width="13.28515625" style="86" bestFit="1" customWidth="1"/>
    <col min="8712" max="8965" width="8.85546875" style="86"/>
    <col min="8966" max="8966" width="33.28515625" style="86" customWidth="1"/>
    <col min="8967" max="8967" width="13.28515625" style="86" bestFit="1" customWidth="1"/>
    <col min="8968" max="9221" width="8.85546875" style="86"/>
    <col min="9222" max="9222" width="33.28515625" style="86" customWidth="1"/>
    <col min="9223" max="9223" width="13.28515625" style="86" bestFit="1" customWidth="1"/>
    <col min="9224" max="9477" width="8.85546875" style="86"/>
    <col min="9478" max="9478" width="33.28515625" style="86" customWidth="1"/>
    <col min="9479" max="9479" width="13.28515625" style="86" bestFit="1" customWidth="1"/>
    <col min="9480" max="9733" width="8.85546875" style="86"/>
    <col min="9734" max="9734" width="33.28515625" style="86" customWidth="1"/>
    <col min="9735" max="9735" width="13.28515625" style="86" bestFit="1" customWidth="1"/>
    <col min="9736" max="9989" width="8.85546875" style="86"/>
    <col min="9990" max="9990" width="33.28515625" style="86" customWidth="1"/>
    <col min="9991" max="9991" width="13.28515625" style="86" bestFit="1" customWidth="1"/>
    <col min="9992" max="10245" width="8.85546875" style="86"/>
    <col min="10246" max="10246" width="33.28515625" style="86" customWidth="1"/>
    <col min="10247" max="10247" width="13.28515625" style="86" bestFit="1" customWidth="1"/>
    <col min="10248" max="10501" width="8.85546875" style="86"/>
    <col min="10502" max="10502" width="33.28515625" style="86" customWidth="1"/>
    <col min="10503" max="10503" width="13.28515625" style="86" bestFit="1" customWidth="1"/>
    <col min="10504" max="10757" width="8.85546875" style="86"/>
    <col min="10758" max="10758" width="33.28515625" style="86" customWidth="1"/>
    <col min="10759" max="10759" width="13.28515625" style="86" bestFit="1" customWidth="1"/>
    <col min="10760" max="11013" width="8.85546875" style="86"/>
    <col min="11014" max="11014" width="33.28515625" style="86" customWidth="1"/>
    <col min="11015" max="11015" width="13.28515625" style="86" bestFit="1" customWidth="1"/>
    <col min="11016" max="11269" width="8.85546875" style="86"/>
    <col min="11270" max="11270" width="33.28515625" style="86" customWidth="1"/>
    <col min="11271" max="11271" width="13.28515625" style="86" bestFit="1" customWidth="1"/>
    <col min="11272" max="11525" width="8.85546875" style="86"/>
    <col min="11526" max="11526" width="33.28515625" style="86" customWidth="1"/>
    <col min="11527" max="11527" width="13.28515625" style="86" bestFit="1" customWidth="1"/>
    <col min="11528" max="11781" width="8.85546875" style="86"/>
    <col min="11782" max="11782" width="33.28515625" style="86" customWidth="1"/>
    <col min="11783" max="11783" width="13.28515625" style="86" bestFit="1" customWidth="1"/>
    <col min="11784" max="12037" width="8.85546875" style="86"/>
    <col min="12038" max="12038" width="33.28515625" style="86" customWidth="1"/>
    <col min="12039" max="12039" width="13.28515625" style="86" bestFit="1" customWidth="1"/>
    <col min="12040" max="12293" width="8.85546875" style="86"/>
    <col min="12294" max="12294" width="33.28515625" style="86" customWidth="1"/>
    <col min="12295" max="12295" width="13.28515625" style="86" bestFit="1" customWidth="1"/>
    <col min="12296" max="12549" width="8.85546875" style="86"/>
    <col min="12550" max="12550" width="33.28515625" style="86" customWidth="1"/>
    <col min="12551" max="12551" width="13.28515625" style="86" bestFit="1" customWidth="1"/>
    <col min="12552" max="12805" width="8.85546875" style="86"/>
    <col min="12806" max="12806" width="33.28515625" style="86" customWidth="1"/>
    <col min="12807" max="12807" width="13.28515625" style="86" bestFit="1" customWidth="1"/>
    <col min="12808" max="13061" width="8.85546875" style="86"/>
    <col min="13062" max="13062" width="33.28515625" style="86" customWidth="1"/>
    <col min="13063" max="13063" width="13.28515625" style="86" bestFit="1" customWidth="1"/>
    <col min="13064" max="13317" width="8.85546875" style="86"/>
    <col min="13318" max="13318" width="33.28515625" style="86" customWidth="1"/>
    <col min="13319" max="13319" width="13.28515625" style="86" bestFit="1" customWidth="1"/>
    <col min="13320" max="13573" width="8.85546875" style="86"/>
    <col min="13574" max="13574" width="33.28515625" style="86" customWidth="1"/>
    <col min="13575" max="13575" width="13.28515625" style="86" bestFit="1" customWidth="1"/>
    <col min="13576" max="13829" width="8.85546875" style="86"/>
    <col min="13830" max="13830" width="33.28515625" style="86" customWidth="1"/>
    <col min="13831" max="13831" width="13.28515625" style="86" bestFit="1" customWidth="1"/>
    <col min="13832" max="14085" width="8.85546875" style="86"/>
    <col min="14086" max="14086" width="33.28515625" style="86" customWidth="1"/>
    <col min="14087" max="14087" width="13.28515625" style="86" bestFit="1" customWidth="1"/>
    <col min="14088" max="14341" width="8.85546875" style="86"/>
    <col min="14342" max="14342" width="33.28515625" style="86" customWidth="1"/>
    <col min="14343" max="14343" width="13.28515625" style="86" bestFit="1" customWidth="1"/>
    <col min="14344" max="14597" width="8.85546875" style="86"/>
    <col min="14598" max="14598" width="33.28515625" style="86" customWidth="1"/>
    <col min="14599" max="14599" width="13.28515625" style="86" bestFit="1" customWidth="1"/>
    <col min="14600" max="14853" width="8.85546875" style="86"/>
    <col min="14854" max="14854" width="33.28515625" style="86" customWidth="1"/>
    <col min="14855" max="14855" width="13.28515625" style="86" bestFit="1" customWidth="1"/>
    <col min="14856" max="15109" width="8.85546875" style="86"/>
    <col min="15110" max="15110" width="33.28515625" style="86" customWidth="1"/>
    <col min="15111" max="15111" width="13.28515625" style="86" bestFit="1" customWidth="1"/>
    <col min="15112" max="15365" width="8.85546875" style="86"/>
    <col min="15366" max="15366" width="33.28515625" style="86" customWidth="1"/>
    <col min="15367" max="15367" width="13.28515625" style="86" bestFit="1" customWidth="1"/>
    <col min="15368" max="15621" width="8.85546875" style="86"/>
    <col min="15622" max="15622" width="33.28515625" style="86" customWidth="1"/>
    <col min="15623" max="15623" width="13.28515625" style="86" bestFit="1" customWidth="1"/>
    <col min="15624" max="15877" width="8.85546875" style="86"/>
    <col min="15878" max="15878" width="33.28515625" style="86" customWidth="1"/>
    <col min="15879" max="15879" width="13.28515625" style="86" bestFit="1" customWidth="1"/>
    <col min="15880" max="16133" width="8.85546875" style="86"/>
    <col min="16134" max="16134" width="33.28515625" style="86" customWidth="1"/>
    <col min="16135" max="16135" width="13.28515625" style="86" bestFit="1" customWidth="1"/>
    <col min="16136" max="16384" width="8.85546875" style="86"/>
  </cols>
  <sheetData>
    <row r="1" spans="1:7" x14ac:dyDescent="0.25">
      <c r="G1" s="22" t="s">
        <v>445</v>
      </c>
    </row>
    <row r="2" spans="1:7" x14ac:dyDescent="0.25">
      <c r="G2" s="22" t="str">
        <f>+Cover!$A$5</f>
        <v>CAUSE NO. 45032-S13</v>
      </c>
    </row>
    <row r="3" spans="1:7" x14ac:dyDescent="0.25">
      <c r="G3" s="22" t="s">
        <v>30</v>
      </c>
    </row>
    <row r="4" spans="1:7" ht="15.75" x14ac:dyDescent="0.25">
      <c r="A4" s="302" t="s">
        <v>446</v>
      </c>
      <c r="B4" s="302"/>
      <c r="C4" s="302"/>
      <c r="D4" s="302"/>
      <c r="E4" s="302"/>
      <c r="F4" s="302"/>
      <c r="G4" s="302"/>
    </row>
    <row r="6" spans="1:7" ht="15.75" x14ac:dyDescent="0.25">
      <c r="A6" s="302" t="s">
        <v>21</v>
      </c>
      <c r="B6" s="302"/>
      <c r="C6" s="302"/>
      <c r="D6" s="302"/>
      <c r="E6" s="302"/>
      <c r="F6" s="302"/>
      <c r="G6" s="302"/>
    </row>
    <row r="7" spans="1:7" ht="15.75" x14ac:dyDescent="0.25">
      <c r="A7" s="215"/>
      <c r="B7" s="215"/>
      <c r="C7" s="215"/>
      <c r="D7" s="215"/>
      <c r="E7" s="215"/>
      <c r="F7" s="156"/>
      <c r="G7" s="156"/>
    </row>
    <row r="8" spans="1:7" ht="15.75" x14ac:dyDescent="0.25">
      <c r="A8" s="302" t="s">
        <v>447</v>
      </c>
      <c r="B8" s="302"/>
      <c r="C8" s="302"/>
      <c r="D8" s="302"/>
      <c r="E8" s="302"/>
      <c r="F8" s="302"/>
      <c r="G8" s="302"/>
    </row>
    <row r="9" spans="1:7" ht="15.75" x14ac:dyDescent="0.25">
      <c r="A9" s="215"/>
      <c r="B9" s="215"/>
      <c r="C9" s="215"/>
      <c r="D9" s="215"/>
      <c r="E9" s="215"/>
      <c r="F9" s="156"/>
      <c r="G9" s="156"/>
    </row>
    <row r="10" spans="1:7" ht="18" x14ac:dyDescent="0.25">
      <c r="A10" s="215" t="s">
        <v>448</v>
      </c>
      <c r="B10" s="215"/>
      <c r="C10" s="215"/>
      <c r="D10" s="215"/>
      <c r="E10" s="215"/>
      <c r="F10" s="156"/>
      <c r="G10" s="216">
        <f>+Before!H52+Before!J62</f>
        <v>-441094</v>
      </c>
    </row>
    <row r="11" spans="1:7" ht="18" x14ac:dyDescent="0.25">
      <c r="A11" s="215" t="s">
        <v>449</v>
      </c>
      <c r="B11" s="215"/>
      <c r="C11" s="215"/>
      <c r="D11" s="215"/>
      <c r="E11" s="215"/>
      <c r="F11" s="156"/>
      <c r="G11" s="217">
        <f>+After!H52+After!J62</f>
        <v>-272442</v>
      </c>
    </row>
    <row r="12" spans="1:7" x14ac:dyDescent="0.25">
      <c r="A12" s="156"/>
      <c r="B12" s="156"/>
      <c r="C12" s="156"/>
      <c r="D12" s="156"/>
      <c r="E12" s="156"/>
      <c r="F12" s="156"/>
      <c r="G12" s="156"/>
    </row>
    <row r="13" spans="1:7" ht="18.75" thickBot="1" x14ac:dyDescent="0.3">
      <c r="A13" s="215" t="s">
        <v>450</v>
      </c>
      <c r="G13" s="218">
        <f>+G10-G11</f>
        <v>-168652</v>
      </c>
    </row>
    <row r="14" spans="1:7" ht="15.75" thickTop="1" x14ac:dyDescent="0.25"/>
  </sheetData>
  <mergeCells count="3">
    <mergeCell ref="A4:G4"/>
    <mergeCell ref="A6:G6"/>
    <mergeCell ref="A8:G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topLeftCell="C1" workbookViewId="0">
      <selection activeCell="J1" sqref="J1:J3"/>
    </sheetView>
  </sheetViews>
  <sheetFormatPr defaultColWidth="15.42578125" defaultRowHeight="15.75" x14ac:dyDescent="0.25"/>
  <cols>
    <col min="1" max="1" width="3.140625" style="221" customWidth="1"/>
    <col min="2" max="2" width="24.7109375" style="221" customWidth="1"/>
    <col min="3" max="3" width="24" style="221" customWidth="1"/>
    <col min="4" max="4" width="11.7109375" style="221" customWidth="1"/>
    <col min="5" max="5" width="16" style="221" bestFit="1" customWidth="1"/>
    <col min="6" max="6" width="9.28515625" style="221" customWidth="1"/>
    <col min="7" max="7" width="15.7109375" style="221" customWidth="1"/>
    <col min="8" max="8" width="16.42578125" style="221" bestFit="1" customWidth="1"/>
    <col min="9" max="10" width="15.7109375" style="221" customWidth="1"/>
    <col min="11" max="11" width="4.7109375" style="221" bestFit="1" customWidth="1"/>
    <col min="12" max="12" width="15.42578125" style="221"/>
    <col min="13" max="13" width="15.5703125" style="221" bestFit="1" customWidth="1"/>
    <col min="14" max="256" width="15.42578125" style="221"/>
    <col min="257" max="257" width="3.140625" style="221" customWidth="1"/>
    <col min="258" max="258" width="24.7109375" style="221" customWidth="1"/>
    <col min="259" max="259" width="24" style="221" customWidth="1"/>
    <col min="260" max="260" width="11.7109375" style="221" customWidth="1"/>
    <col min="261" max="261" width="16" style="221" bestFit="1" customWidth="1"/>
    <col min="262" max="262" width="9.28515625" style="221" customWidth="1"/>
    <col min="263" max="263" width="15.7109375" style="221" customWidth="1"/>
    <col min="264" max="264" width="16.42578125" style="221" bestFit="1" customWidth="1"/>
    <col min="265" max="266" width="15.7109375" style="221" customWidth="1"/>
    <col min="267" max="267" width="4.7109375" style="221" bestFit="1" customWidth="1"/>
    <col min="268" max="268" width="15.42578125" style="221"/>
    <col min="269" max="269" width="15.5703125" style="221" bestFit="1" customWidth="1"/>
    <col min="270" max="512" width="15.42578125" style="221"/>
    <col min="513" max="513" width="3.140625" style="221" customWidth="1"/>
    <col min="514" max="514" width="24.7109375" style="221" customWidth="1"/>
    <col min="515" max="515" width="24" style="221" customWidth="1"/>
    <col min="516" max="516" width="11.7109375" style="221" customWidth="1"/>
    <col min="517" max="517" width="16" style="221" bestFit="1" customWidth="1"/>
    <col min="518" max="518" width="9.28515625" style="221" customWidth="1"/>
    <col min="519" max="519" width="15.7109375" style="221" customWidth="1"/>
    <col min="520" max="520" width="16.42578125" style="221" bestFit="1" customWidth="1"/>
    <col min="521" max="522" width="15.7109375" style="221" customWidth="1"/>
    <col min="523" max="523" width="4.7109375" style="221" bestFit="1" customWidth="1"/>
    <col min="524" max="524" width="15.42578125" style="221"/>
    <col min="525" max="525" width="15.5703125" style="221" bestFit="1" customWidth="1"/>
    <col min="526" max="768" width="15.42578125" style="221"/>
    <col min="769" max="769" width="3.140625" style="221" customWidth="1"/>
    <col min="770" max="770" width="24.7109375" style="221" customWidth="1"/>
    <col min="771" max="771" width="24" style="221" customWidth="1"/>
    <col min="772" max="772" width="11.7109375" style="221" customWidth="1"/>
    <col min="773" max="773" width="16" style="221" bestFit="1" customWidth="1"/>
    <col min="774" max="774" width="9.28515625" style="221" customWidth="1"/>
    <col min="775" max="775" width="15.7109375" style="221" customWidth="1"/>
    <col min="776" max="776" width="16.42578125" style="221" bestFit="1" customWidth="1"/>
    <col min="777" max="778" width="15.7109375" style="221" customWidth="1"/>
    <col min="779" max="779" width="4.7109375" style="221" bestFit="1" customWidth="1"/>
    <col min="780" max="780" width="15.42578125" style="221"/>
    <col min="781" max="781" width="15.5703125" style="221" bestFit="1" customWidth="1"/>
    <col min="782" max="1024" width="15.42578125" style="221"/>
    <col min="1025" max="1025" width="3.140625" style="221" customWidth="1"/>
    <col min="1026" max="1026" width="24.7109375" style="221" customWidth="1"/>
    <col min="1027" max="1027" width="24" style="221" customWidth="1"/>
    <col min="1028" max="1028" width="11.7109375" style="221" customWidth="1"/>
    <col min="1029" max="1029" width="16" style="221" bestFit="1" customWidth="1"/>
    <col min="1030" max="1030" width="9.28515625" style="221" customWidth="1"/>
    <col min="1031" max="1031" width="15.7109375" style="221" customWidth="1"/>
    <col min="1032" max="1032" width="16.42578125" style="221" bestFit="1" customWidth="1"/>
    <col min="1033" max="1034" width="15.7109375" style="221" customWidth="1"/>
    <col min="1035" max="1035" width="4.7109375" style="221" bestFit="1" customWidth="1"/>
    <col min="1036" max="1036" width="15.42578125" style="221"/>
    <col min="1037" max="1037" width="15.5703125" style="221" bestFit="1" customWidth="1"/>
    <col min="1038" max="1280" width="15.42578125" style="221"/>
    <col min="1281" max="1281" width="3.140625" style="221" customWidth="1"/>
    <col min="1282" max="1282" width="24.7109375" style="221" customWidth="1"/>
    <col min="1283" max="1283" width="24" style="221" customWidth="1"/>
    <col min="1284" max="1284" width="11.7109375" style="221" customWidth="1"/>
    <col min="1285" max="1285" width="16" style="221" bestFit="1" customWidth="1"/>
    <col min="1286" max="1286" width="9.28515625" style="221" customWidth="1"/>
    <col min="1287" max="1287" width="15.7109375" style="221" customWidth="1"/>
    <col min="1288" max="1288" width="16.42578125" style="221" bestFit="1" customWidth="1"/>
    <col min="1289" max="1290" width="15.7109375" style="221" customWidth="1"/>
    <col min="1291" max="1291" width="4.7109375" style="221" bestFit="1" customWidth="1"/>
    <col min="1292" max="1292" width="15.42578125" style="221"/>
    <col min="1293" max="1293" width="15.5703125" style="221" bestFit="1" customWidth="1"/>
    <col min="1294" max="1536" width="15.42578125" style="221"/>
    <col min="1537" max="1537" width="3.140625" style="221" customWidth="1"/>
    <col min="1538" max="1538" width="24.7109375" style="221" customWidth="1"/>
    <col min="1539" max="1539" width="24" style="221" customWidth="1"/>
    <col min="1540" max="1540" width="11.7109375" style="221" customWidth="1"/>
    <col min="1541" max="1541" width="16" style="221" bestFit="1" customWidth="1"/>
    <col min="1542" max="1542" width="9.28515625" style="221" customWidth="1"/>
    <col min="1543" max="1543" width="15.7109375" style="221" customWidth="1"/>
    <col min="1544" max="1544" width="16.42578125" style="221" bestFit="1" customWidth="1"/>
    <col min="1545" max="1546" width="15.7109375" style="221" customWidth="1"/>
    <col min="1547" max="1547" width="4.7109375" style="221" bestFit="1" customWidth="1"/>
    <col min="1548" max="1548" width="15.42578125" style="221"/>
    <col min="1549" max="1549" width="15.5703125" style="221" bestFit="1" customWidth="1"/>
    <col min="1550" max="1792" width="15.42578125" style="221"/>
    <col min="1793" max="1793" width="3.140625" style="221" customWidth="1"/>
    <col min="1794" max="1794" width="24.7109375" style="221" customWidth="1"/>
    <col min="1795" max="1795" width="24" style="221" customWidth="1"/>
    <col min="1796" max="1796" width="11.7109375" style="221" customWidth="1"/>
    <col min="1797" max="1797" width="16" style="221" bestFit="1" customWidth="1"/>
    <col min="1798" max="1798" width="9.28515625" style="221" customWidth="1"/>
    <col min="1799" max="1799" width="15.7109375" style="221" customWidth="1"/>
    <col min="1800" max="1800" width="16.42578125" style="221" bestFit="1" customWidth="1"/>
    <col min="1801" max="1802" width="15.7109375" style="221" customWidth="1"/>
    <col min="1803" max="1803" width="4.7109375" style="221" bestFit="1" customWidth="1"/>
    <col min="1804" max="1804" width="15.42578125" style="221"/>
    <col min="1805" max="1805" width="15.5703125" style="221" bestFit="1" customWidth="1"/>
    <col min="1806" max="2048" width="15.42578125" style="221"/>
    <col min="2049" max="2049" width="3.140625" style="221" customWidth="1"/>
    <col min="2050" max="2050" width="24.7109375" style="221" customWidth="1"/>
    <col min="2051" max="2051" width="24" style="221" customWidth="1"/>
    <col min="2052" max="2052" width="11.7109375" style="221" customWidth="1"/>
    <col min="2053" max="2053" width="16" style="221" bestFit="1" customWidth="1"/>
    <col min="2054" max="2054" width="9.28515625" style="221" customWidth="1"/>
    <col min="2055" max="2055" width="15.7109375" style="221" customWidth="1"/>
    <col min="2056" max="2056" width="16.42578125" style="221" bestFit="1" customWidth="1"/>
    <col min="2057" max="2058" width="15.7109375" style="221" customWidth="1"/>
    <col min="2059" max="2059" width="4.7109375" style="221" bestFit="1" customWidth="1"/>
    <col min="2060" max="2060" width="15.42578125" style="221"/>
    <col min="2061" max="2061" width="15.5703125" style="221" bestFit="1" customWidth="1"/>
    <col min="2062" max="2304" width="15.42578125" style="221"/>
    <col min="2305" max="2305" width="3.140625" style="221" customWidth="1"/>
    <col min="2306" max="2306" width="24.7109375" style="221" customWidth="1"/>
    <col min="2307" max="2307" width="24" style="221" customWidth="1"/>
    <col min="2308" max="2308" width="11.7109375" style="221" customWidth="1"/>
    <col min="2309" max="2309" width="16" style="221" bestFit="1" customWidth="1"/>
    <col min="2310" max="2310" width="9.28515625" style="221" customWidth="1"/>
    <col min="2311" max="2311" width="15.7109375" style="221" customWidth="1"/>
    <col min="2312" max="2312" width="16.42578125" style="221" bestFit="1" customWidth="1"/>
    <col min="2313" max="2314" width="15.7109375" style="221" customWidth="1"/>
    <col min="2315" max="2315" width="4.7109375" style="221" bestFit="1" customWidth="1"/>
    <col min="2316" max="2316" width="15.42578125" style="221"/>
    <col min="2317" max="2317" width="15.5703125" style="221" bestFit="1" customWidth="1"/>
    <col min="2318" max="2560" width="15.42578125" style="221"/>
    <col min="2561" max="2561" width="3.140625" style="221" customWidth="1"/>
    <col min="2562" max="2562" width="24.7109375" style="221" customWidth="1"/>
    <col min="2563" max="2563" width="24" style="221" customWidth="1"/>
    <col min="2564" max="2564" width="11.7109375" style="221" customWidth="1"/>
    <col min="2565" max="2565" width="16" style="221" bestFit="1" customWidth="1"/>
    <col min="2566" max="2566" width="9.28515625" style="221" customWidth="1"/>
    <col min="2567" max="2567" width="15.7109375" style="221" customWidth="1"/>
    <col min="2568" max="2568" width="16.42578125" style="221" bestFit="1" customWidth="1"/>
    <col min="2569" max="2570" width="15.7109375" style="221" customWidth="1"/>
    <col min="2571" max="2571" width="4.7109375" style="221" bestFit="1" customWidth="1"/>
    <col min="2572" max="2572" width="15.42578125" style="221"/>
    <col min="2573" max="2573" width="15.5703125" style="221" bestFit="1" customWidth="1"/>
    <col min="2574" max="2816" width="15.42578125" style="221"/>
    <col min="2817" max="2817" width="3.140625" style="221" customWidth="1"/>
    <col min="2818" max="2818" width="24.7109375" style="221" customWidth="1"/>
    <col min="2819" max="2819" width="24" style="221" customWidth="1"/>
    <col min="2820" max="2820" width="11.7109375" style="221" customWidth="1"/>
    <col min="2821" max="2821" width="16" style="221" bestFit="1" customWidth="1"/>
    <col min="2822" max="2822" width="9.28515625" style="221" customWidth="1"/>
    <col min="2823" max="2823" width="15.7109375" style="221" customWidth="1"/>
    <col min="2824" max="2824" width="16.42578125" style="221" bestFit="1" customWidth="1"/>
    <col min="2825" max="2826" width="15.7109375" style="221" customWidth="1"/>
    <col min="2827" max="2827" width="4.7109375" style="221" bestFit="1" customWidth="1"/>
    <col min="2828" max="2828" width="15.42578125" style="221"/>
    <col min="2829" max="2829" width="15.5703125" style="221" bestFit="1" customWidth="1"/>
    <col min="2830" max="3072" width="15.42578125" style="221"/>
    <col min="3073" max="3073" width="3.140625" style="221" customWidth="1"/>
    <col min="3074" max="3074" width="24.7109375" style="221" customWidth="1"/>
    <col min="3075" max="3075" width="24" style="221" customWidth="1"/>
    <col min="3076" max="3076" width="11.7109375" style="221" customWidth="1"/>
    <col min="3077" max="3077" width="16" style="221" bestFit="1" customWidth="1"/>
    <col min="3078" max="3078" width="9.28515625" style="221" customWidth="1"/>
    <col min="3079" max="3079" width="15.7109375" style="221" customWidth="1"/>
    <col min="3080" max="3080" width="16.42578125" style="221" bestFit="1" customWidth="1"/>
    <col min="3081" max="3082" width="15.7109375" style="221" customWidth="1"/>
    <col min="3083" max="3083" width="4.7109375" style="221" bestFit="1" customWidth="1"/>
    <col min="3084" max="3084" width="15.42578125" style="221"/>
    <col min="3085" max="3085" width="15.5703125" style="221" bestFit="1" customWidth="1"/>
    <col min="3086" max="3328" width="15.42578125" style="221"/>
    <col min="3329" max="3329" width="3.140625" style="221" customWidth="1"/>
    <col min="3330" max="3330" width="24.7109375" style="221" customWidth="1"/>
    <col min="3331" max="3331" width="24" style="221" customWidth="1"/>
    <col min="3332" max="3332" width="11.7109375" style="221" customWidth="1"/>
    <col min="3333" max="3333" width="16" style="221" bestFit="1" customWidth="1"/>
    <col min="3334" max="3334" width="9.28515625" style="221" customWidth="1"/>
    <col min="3335" max="3335" width="15.7109375" style="221" customWidth="1"/>
    <col min="3336" max="3336" width="16.42578125" style="221" bestFit="1" customWidth="1"/>
    <col min="3337" max="3338" width="15.7109375" style="221" customWidth="1"/>
    <col min="3339" max="3339" width="4.7109375" style="221" bestFit="1" customWidth="1"/>
    <col min="3340" max="3340" width="15.42578125" style="221"/>
    <col min="3341" max="3341" width="15.5703125" style="221" bestFit="1" customWidth="1"/>
    <col min="3342" max="3584" width="15.42578125" style="221"/>
    <col min="3585" max="3585" width="3.140625" style="221" customWidth="1"/>
    <col min="3586" max="3586" width="24.7109375" style="221" customWidth="1"/>
    <col min="3587" max="3587" width="24" style="221" customWidth="1"/>
    <col min="3588" max="3588" width="11.7109375" style="221" customWidth="1"/>
    <col min="3589" max="3589" width="16" style="221" bestFit="1" customWidth="1"/>
    <col min="3590" max="3590" width="9.28515625" style="221" customWidth="1"/>
    <col min="3591" max="3591" width="15.7109375" style="221" customWidth="1"/>
    <col min="3592" max="3592" width="16.42578125" style="221" bestFit="1" customWidth="1"/>
    <col min="3593" max="3594" width="15.7109375" style="221" customWidth="1"/>
    <col min="3595" max="3595" width="4.7109375" style="221" bestFit="1" customWidth="1"/>
    <col min="3596" max="3596" width="15.42578125" style="221"/>
    <col min="3597" max="3597" width="15.5703125" style="221" bestFit="1" customWidth="1"/>
    <col min="3598" max="3840" width="15.42578125" style="221"/>
    <col min="3841" max="3841" width="3.140625" style="221" customWidth="1"/>
    <col min="3842" max="3842" width="24.7109375" style="221" customWidth="1"/>
    <col min="3843" max="3843" width="24" style="221" customWidth="1"/>
    <col min="3844" max="3844" width="11.7109375" style="221" customWidth="1"/>
    <col min="3845" max="3845" width="16" style="221" bestFit="1" customWidth="1"/>
    <col min="3846" max="3846" width="9.28515625" style="221" customWidth="1"/>
    <col min="3847" max="3847" width="15.7109375" style="221" customWidth="1"/>
    <col min="3848" max="3848" width="16.42578125" style="221" bestFit="1" customWidth="1"/>
    <col min="3849" max="3850" width="15.7109375" style="221" customWidth="1"/>
    <col min="3851" max="3851" width="4.7109375" style="221" bestFit="1" customWidth="1"/>
    <col min="3852" max="3852" width="15.42578125" style="221"/>
    <col min="3853" max="3853" width="15.5703125" style="221" bestFit="1" customWidth="1"/>
    <col min="3854" max="4096" width="15.42578125" style="221"/>
    <col min="4097" max="4097" width="3.140625" style="221" customWidth="1"/>
    <col min="4098" max="4098" width="24.7109375" style="221" customWidth="1"/>
    <col min="4099" max="4099" width="24" style="221" customWidth="1"/>
    <col min="4100" max="4100" width="11.7109375" style="221" customWidth="1"/>
    <col min="4101" max="4101" width="16" style="221" bestFit="1" customWidth="1"/>
    <col min="4102" max="4102" width="9.28515625" style="221" customWidth="1"/>
    <col min="4103" max="4103" width="15.7109375" style="221" customWidth="1"/>
    <col min="4104" max="4104" width="16.42578125" style="221" bestFit="1" customWidth="1"/>
    <col min="4105" max="4106" width="15.7109375" style="221" customWidth="1"/>
    <col min="4107" max="4107" width="4.7109375" style="221" bestFit="1" customWidth="1"/>
    <col min="4108" max="4108" width="15.42578125" style="221"/>
    <col min="4109" max="4109" width="15.5703125" style="221" bestFit="1" customWidth="1"/>
    <col min="4110" max="4352" width="15.42578125" style="221"/>
    <col min="4353" max="4353" width="3.140625" style="221" customWidth="1"/>
    <col min="4354" max="4354" width="24.7109375" style="221" customWidth="1"/>
    <col min="4355" max="4355" width="24" style="221" customWidth="1"/>
    <col min="4356" max="4356" width="11.7109375" style="221" customWidth="1"/>
    <col min="4357" max="4357" width="16" style="221" bestFit="1" customWidth="1"/>
    <col min="4358" max="4358" width="9.28515625" style="221" customWidth="1"/>
    <col min="4359" max="4359" width="15.7109375" style="221" customWidth="1"/>
    <col min="4360" max="4360" width="16.42578125" style="221" bestFit="1" customWidth="1"/>
    <col min="4361" max="4362" width="15.7109375" style="221" customWidth="1"/>
    <col min="4363" max="4363" width="4.7109375" style="221" bestFit="1" customWidth="1"/>
    <col min="4364" max="4364" width="15.42578125" style="221"/>
    <col min="4365" max="4365" width="15.5703125" style="221" bestFit="1" customWidth="1"/>
    <col min="4366" max="4608" width="15.42578125" style="221"/>
    <col min="4609" max="4609" width="3.140625" style="221" customWidth="1"/>
    <col min="4610" max="4610" width="24.7109375" style="221" customWidth="1"/>
    <col min="4611" max="4611" width="24" style="221" customWidth="1"/>
    <col min="4612" max="4612" width="11.7109375" style="221" customWidth="1"/>
    <col min="4613" max="4613" width="16" style="221" bestFit="1" customWidth="1"/>
    <col min="4614" max="4614" width="9.28515625" style="221" customWidth="1"/>
    <col min="4615" max="4615" width="15.7109375" style="221" customWidth="1"/>
    <col min="4616" max="4616" width="16.42578125" style="221" bestFit="1" customWidth="1"/>
    <col min="4617" max="4618" width="15.7109375" style="221" customWidth="1"/>
    <col min="4619" max="4619" width="4.7109375" style="221" bestFit="1" customWidth="1"/>
    <col min="4620" max="4620" width="15.42578125" style="221"/>
    <col min="4621" max="4621" width="15.5703125" style="221" bestFit="1" customWidth="1"/>
    <col min="4622" max="4864" width="15.42578125" style="221"/>
    <col min="4865" max="4865" width="3.140625" style="221" customWidth="1"/>
    <col min="4866" max="4866" width="24.7109375" style="221" customWidth="1"/>
    <col min="4867" max="4867" width="24" style="221" customWidth="1"/>
    <col min="4868" max="4868" width="11.7109375" style="221" customWidth="1"/>
    <col min="4869" max="4869" width="16" style="221" bestFit="1" customWidth="1"/>
    <col min="4870" max="4870" width="9.28515625" style="221" customWidth="1"/>
    <col min="4871" max="4871" width="15.7109375" style="221" customWidth="1"/>
    <col min="4872" max="4872" width="16.42578125" style="221" bestFit="1" customWidth="1"/>
    <col min="4873" max="4874" width="15.7109375" style="221" customWidth="1"/>
    <col min="4875" max="4875" width="4.7109375" style="221" bestFit="1" customWidth="1"/>
    <col min="4876" max="4876" width="15.42578125" style="221"/>
    <col min="4877" max="4877" width="15.5703125" style="221" bestFit="1" customWidth="1"/>
    <col min="4878" max="5120" width="15.42578125" style="221"/>
    <col min="5121" max="5121" width="3.140625" style="221" customWidth="1"/>
    <col min="5122" max="5122" width="24.7109375" style="221" customWidth="1"/>
    <col min="5123" max="5123" width="24" style="221" customWidth="1"/>
    <col min="5124" max="5124" width="11.7109375" style="221" customWidth="1"/>
    <col min="5125" max="5125" width="16" style="221" bestFit="1" customWidth="1"/>
    <col min="5126" max="5126" width="9.28515625" style="221" customWidth="1"/>
    <col min="5127" max="5127" width="15.7109375" style="221" customWidth="1"/>
    <col min="5128" max="5128" width="16.42578125" style="221" bestFit="1" customWidth="1"/>
    <col min="5129" max="5130" width="15.7109375" style="221" customWidth="1"/>
    <col min="5131" max="5131" width="4.7109375" style="221" bestFit="1" customWidth="1"/>
    <col min="5132" max="5132" width="15.42578125" style="221"/>
    <col min="5133" max="5133" width="15.5703125" style="221" bestFit="1" customWidth="1"/>
    <col min="5134" max="5376" width="15.42578125" style="221"/>
    <col min="5377" max="5377" width="3.140625" style="221" customWidth="1"/>
    <col min="5378" max="5378" width="24.7109375" style="221" customWidth="1"/>
    <col min="5379" max="5379" width="24" style="221" customWidth="1"/>
    <col min="5380" max="5380" width="11.7109375" style="221" customWidth="1"/>
    <col min="5381" max="5381" width="16" style="221" bestFit="1" customWidth="1"/>
    <col min="5382" max="5382" width="9.28515625" style="221" customWidth="1"/>
    <col min="5383" max="5383" width="15.7109375" style="221" customWidth="1"/>
    <col min="5384" max="5384" width="16.42578125" style="221" bestFit="1" customWidth="1"/>
    <col min="5385" max="5386" width="15.7109375" style="221" customWidth="1"/>
    <col min="5387" max="5387" width="4.7109375" style="221" bestFit="1" customWidth="1"/>
    <col min="5388" max="5388" width="15.42578125" style="221"/>
    <col min="5389" max="5389" width="15.5703125" style="221" bestFit="1" customWidth="1"/>
    <col min="5390" max="5632" width="15.42578125" style="221"/>
    <col min="5633" max="5633" width="3.140625" style="221" customWidth="1"/>
    <col min="5634" max="5634" width="24.7109375" style="221" customWidth="1"/>
    <col min="5635" max="5635" width="24" style="221" customWidth="1"/>
    <col min="5636" max="5636" width="11.7109375" style="221" customWidth="1"/>
    <col min="5637" max="5637" width="16" style="221" bestFit="1" customWidth="1"/>
    <col min="5638" max="5638" width="9.28515625" style="221" customWidth="1"/>
    <col min="5639" max="5639" width="15.7109375" style="221" customWidth="1"/>
    <col min="5640" max="5640" width="16.42578125" style="221" bestFit="1" customWidth="1"/>
    <col min="5641" max="5642" width="15.7109375" style="221" customWidth="1"/>
    <col min="5643" max="5643" width="4.7109375" style="221" bestFit="1" customWidth="1"/>
    <col min="5644" max="5644" width="15.42578125" style="221"/>
    <col min="5645" max="5645" width="15.5703125" style="221" bestFit="1" customWidth="1"/>
    <col min="5646" max="5888" width="15.42578125" style="221"/>
    <col min="5889" max="5889" width="3.140625" style="221" customWidth="1"/>
    <col min="5890" max="5890" width="24.7109375" style="221" customWidth="1"/>
    <col min="5891" max="5891" width="24" style="221" customWidth="1"/>
    <col min="5892" max="5892" width="11.7109375" style="221" customWidth="1"/>
    <col min="5893" max="5893" width="16" style="221" bestFit="1" customWidth="1"/>
    <col min="5894" max="5894" width="9.28515625" style="221" customWidth="1"/>
    <col min="5895" max="5895" width="15.7109375" style="221" customWidth="1"/>
    <col min="5896" max="5896" width="16.42578125" style="221" bestFit="1" customWidth="1"/>
    <col min="5897" max="5898" width="15.7109375" style="221" customWidth="1"/>
    <col min="5899" max="5899" width="4.7109375" style="221" bestFit="1" customWidth="1"/>
    <col min="5900" max="5900" width="15.42578125" style="221"/>
    <col min="5901" max="5901" width="15.5703125" style="221" bestFit="1" customWidth="1"/>
    <col min="5902" max="6144" width="15.42578125" style="221"/>
    <col min="6145" max="6145" width="3.140625" style="221" customWidth="1"/>
    <col min="6146" max="6146" width="24.7109375" style="221" customWidth="1"/>
    <col min="6147" max="6147" width="24" style="221" customWidth="1"/>
    <col min="6148" max="6148" width="11.7109375" style="221" customWidth="1"/>
    <col min="6149" max="6149" width="16" style="221" bestFit="1" customWidth="1"/>
    <col min="6150" max="6150" width="9.28515625" style="221" customWidth="1"/>
    <col min="6151" max="6151" width="15.7109375" style="221" customWidth="1"/>
    <col min="6152" max="6152" width="16.42578125" style="221" bestFit="1" customWidth="1"/>
    <col min="6153" max="6154" width="15.7109375" style="221" customWidth="1"/>
    <col min="6155" max="6155" width="4.7109375" style="221" bestFit="1" customWidth="1"/>
    <col min="6156" max="6156" width="15.42578125" style="221"/>
    <col min="6157" max="6157" width="15.5703125" style="221" bestFit="1" customWidth="1"/>
    <col min="6158" max="6400" width="15.42578125" style="221"/>
    <col min="6401" max="6401" width="3.140625" style="221" customWidth="1"/>
    <col min="6402" max="6402" width="24.7109375" style="221" customWidth="1"/>
    <col min="6403" max="6403" width="24" style="221" customWidth="1"/>
    <col min="6404" max="6404" width="11.7109375" style="221" customWidth="1"/>
    <col min="6405" max="6405" width="16" style="221" bestFit="1" customWidth="1"/>
    <col min="6406" max="6406" width="9.28515625" style="221" customWidth="1"/>
    <col min="6407" max="6407" width="15.7109375" style="221" customWidth="1"/>
    <col min="6408" max="6408" width="16.42578125" style="221" bestFit="1" customWidth="1"/>
    <col min="6409" max="6410" width="15.7109375" style="221" customWidth="1"/>
    <col min="6411" max="6411" width="4.7109375" style="221" bestFit="1" customWidth="1"/>
    <col min="6412" max="6412" width="15.42578125" style="221"/>
    <col min="6413" max="6413" width="15.5703125" style="221" bestFit="1" customWidth="1"/>
    <col min="6414" max="6656" width="15.42578125" style="221"/>
    <col min="6657" max="6657" width="3.140625" style="221" customWidth="1"/>
    <col min="6658" max="6658" width="24.7109375" style="221" customWidth="1"/>
    <col min="6659" max="6659" width="24" style="221" customWidth="1"/>
    <col min="6660" max="6660" width="11.7109375" style="221" customWidth="1"/>
    <col min="6661" max="6661" width="16" style="221" bestFit="1" customWidth="1"/>
    <col min="6662" max="6662" width="9.28515625" style="221" customWidth="1"/>
    <col min="6663" max="6663" width="15.7109375" style="221" customWidth="1"/>
    <col min="6664" max="6664" width="16.42578125" style="221" bestFit="1" customWidth="1"/>
    <col min="6665" max="6666" width="15.7109375" style="221" customWidth="1"/>
    <col min="6667" max="6667" width="4.7109375" style="221" bestFit="1" customWidth="1"/>
    <col min="6668" max="6668" width="15.42578125" style="221"/>
    <col min="6669" max="6669" width="15.5703125" style="221" bestFit="1" customWidth="1"/>
    <col min="6670" max="6912" width="15.42578125" style="221"/>
    <col min="6913" max="6913" width="3.140625" style="221" customWidth="1"/>
    <col min="6914" max="6914" width="24.7109375" style="221" customWidth="1"/>
    <col min="6915" max="6915" width="24" style="221" customWidth="1"/>
    <col min="6916" max="6916" width="11.7109375" style="221" customWidth="1"/>
    <col min="6917" max="6917" width="16" style="221" bestFit="1" customWidth="1"/>
    <col min="6918" max="6918" width="9.28515625" style="221" customWidth="1"/>
    <col min="6919" max="6919" width="15.7109375" style="221" customWidth="1"/>
    <col min="6920" max="6920" width="16.42578125" style="221" bestFit="1" customWidth="1"/>
    <col min="6921" max="6922" width="15.7109375" style="221" customWidth="1"/>
    <col min="6923" max="6923" width="4.7109375" style="221" bestFit="1" customWidth="1"/>
    <col min="6924" max="6924" width="15.42578125" style="221"/>
    <col min="6925" max="6925" width="15.5703125" style="221" bestFit="1" customWidth="1"/>
    <col min="6926" max="7168" width="15.42578125" style="221"/>
    <col min="7169" max="7169" width="3.140625" style="221" customWidth="1"/>
    <col min="7170" max="7170" width="24.7109375" style="221" customWidth="1"/>
    <col min="7171" max="7171" width="24" style="221" customWidth="1"/>
    <col min="7172" max="7172" width="11.7109375" style="221" customWidth="1"/>
    <col min="7173" max="7173" width="16" style="221" bestFit="1" customWidth="1"/>
    <col min="7174" max="7174" width="9.28515625" style="221" customWidth="1"/>
    <col min="7175" max="7175" width="15.7109375" style="221" customWidth="1"/>
    <col min="7176" max="7176" width="16.42578125" style="221" bestFit="1" customWidth="1"/>
    <col min="7177" max="7178" width="15.7109375" style="221" customWidth="1"/>
    <col min="7179" max="7179" width="4.7109375" style="221" bestFit="1" customWidth="1"/>
    <col min="7180" max="7180" width="15.42578125" style="221"/>
    <col min="7181" max="7181" width="15.5703125" style="221" bestFit="1" customWidth="1"/>
    <col min="7182" max="7424" width="15.42578125" style="221"/>
    <col min="7425" max="7425" width="3.140625" style="221" customWidth="1"/>
    <col min="7426" max="7426" width="24.7109375" style="221" customWidth="1"/>
    <col min="7427" max="7427" width="24" style="221" customWidth="1"/>
    <col min="7428" max="7428" width="11.7109375" style="221" customWidth="1"/>
    <col min="7429" max="7429" width="16" style="221" bestFit="1" customWidth="1"/>
    <col min="7430" max="7430" width="9.28515625" style="221" customWidth="1"/>
    <col min="7431" max="7431" width="15.7109375" style="221" customWidth="1"/>
    <col min="7432" max="7432" width="16.42578125" style="221" bestFit="1" customWidth="1"/>
    <col min="7433" max="7434" width="15.7109375" style="221" customWidth="1"/>
    <col min="7435" max="7435" width="4.7109375" style="221" bestFit="1" customWidth="1"/>
    <col min="7436" max="7436" width="15.42578125" style="221"/>
    <col min="7437" max="7437" width="15.5703125" style="221" bestFit="1" customWidth="1"/>
    <col min="7438" max="7680" width="15.42578125" style="221"/>
    <col min="7681" max="7681" width="3.140625" style="221" customWidth="1"/>
    <col min="7682" max="7682" width="24.7109375" style="221" customWidth="1"/>
    <col min="7683" max="7683" width="24" style="221" customWidth="1"/>
    <col min="7684" max="7684" width="11.7109375" style="221" customWidth="1"/>
    <col min="7685" max="7685" width="16" style="221" bestFit="1" customWidth="1"/>
    <col min="7686" max="7686" width="9.28515625" style="221" customWidth="1"/>
    <col min="7687" max="7687" width="15.7109375" style="221" customWidth="1"/>
    <col min="7688" max="7688" width="16.42578125" style="221" bestFit="1" customWidth="1"/>
    <col min="7689" max="7690" width="15.7109375" style="221" customWidth="1"/>
    <col min="7691" max="7691" width="4.7109375" style="221" bestFit="1" customWidth="1"/>
    <col min="7692" max="7692" width="15.42578125" style="221"/>
    <col min="7693" max="7693" width="15.5703125" style="221" bestFit="1" customWidth="1"/>
    <col min="7694" max="7936" width="15.42578125" style="221"/>
    <col min="7937" max="7937" width="3.140625" style="221" customWidth="1"/>
    <col min="7938" max="7938" width="24.7109375" style="221" customWidth="1"/>
    <col min="7939" max="7939" width="24" style="221" customWidth="1"/>
    <col min="7940" max="7940" width="11.7109375" style="221" customWidth="1"/>
    <col min="7941" max="7941" width="16" style="221" bestFit="1" customWidth="1"/>
    <col min="7942" max="7942" width="9.28515625" style="221" customWidth="1"/>
    <col min="7943" max="7943" width="15.7109375" style="221" customWidth="1"/>
    <col min="7944" max="7944" width="16.42578125" style="221" bestFit="1" customWidth="1"/>
    <col min="7945" max="7946" width="15.7109375" style="221" customWidth="1"/>
    <col min="7947" max="7947" width="4.7109375" style="221" bestFit="1" customWidth="1"/>
    <col min="7948" max="7948" width="15.42578125" style="221"/>
    <col min="7949" max="7949" width="15.5703125" style="221" bestFit="1" customWidth="1"/>
    <col min="7950" max="8192" width="15.42578125" style="221"/>
    <col min="8193" max="8193" width="3.140625" style="221" customWidth="1"/>
    <col min="8194" max="8194" width="24.7109375" style="221" customWidth="1"/>
    <col min="8195" max="8195" width="24" style="221" customWidth="1"/>
    <col min="8196" max="8196" width="11.7109375" style="221" customWidth="1"/>
    <col min="8197" max="8197" width="16" style="221" bestFit="1" customWidth="1"/>
    <col min="8198" max="8198" width="9.28515625" style="221" customWidth="1"/>
    <col min="8199" max="8199" width="15.7109375" style="221" customWidth="1"/>
    <col min="8200" max="8200" width="16.42578125" style="221" bestFit="1" customWidth="1"/>
    <col min="8201" max="8202" width="15.7109375" style="221" customWidth="1"/>
    <col min="8203" max="8203" width="4.7109375" style="221" bestFit="1" customWidth="1"/>
    <col min="8204" max="8204" width="15.42578125" style="221"/>
    <col min="8205" max="8205" width="15.5703125" style="221" bestFit="1" customWidth="1"/>
    <col min="8206" max="8448" width="15.42578125" style="221"/>
    <col min="8449" max="8449" width="3.140625" style="221" customWidth="1"/>
    <col min="8450" max="8450" width="24.7109375" style="221" customWidth="1"/>
    <col min="8451" max="8451" width="24" style="221" customWidth="1"/>
    <col min="8452" max="8452" width="11.7109375" style="221" customWidth="1"/>
    <col min="8453" max="8453" width="16" style="221" bestFit="1" customWidth="1"/>
    <col min="8454" max="8454" width="9.28515625" style="221" customWidth="1"/>
    <col min="8455" max="8455" width="15.7109375" style="221" customWidth="1"/>
    <col min="8456" max="8456" width="16.42578125" style="221" bestFit="1" customWidth="1"/>
    <col min="8457" max="8458" width="15.7109375" style="221" customWidth="1"/>
    <col min="8459" max="8459" width="4.7109375" style="221" bestFit="1" customWidth="1"/>
    <col min="8460" max="8460" width="15.42578125" style="221"/>
    <col min="8461" max="8461" width="15.5703125" style="221" bestFit="1" customWidth="1"/>
    <col min="8462" max="8704" width="15.42578125" style="221"/>
    <col min="8705" max="8705" width="3.140625" style="221" customWidth="1"/>
    <col min="8706" max="8706" width="24.7109375" style="221" customWidth="1"/>
    <col min="8707" max="8707" width="24" style="221" customWidth="1"/>
    <col min="8708" max="8708" width="11.7109375" style="221" customWidth="1"/>
    <col min="8709" max="8709" width="16" style="221" bestFit="1" customWidth="1"/>
    <col min="8710" max="8710" width="9.28515625" style="221" customWidth="1"/>
    <col min="8711" max="8711" width="15.7109375" style="221" customWidth="1"/>
    <col min="8712" max="8712" width="16.42578125" style="221" bestFit="1" customWidth="1"/>
    <col min="8713" max="8714" width="15.7109375" style="221" customWidth="1"/>
    <col min="8715" max="8715" width="4.7109375" style="221" bestFit="1" customWidth="1"/>
    <col min="8716" max="8716" width="15.42578125" style="221"/>
    <col min="8717" max="8717" width="15.5703125" style="221" bestFit="1" customWidth="1"/>
    <col min="8718" max="8960" width="15.42578125" style="221"/>
    <col min="8961" max="8961" width="3.140625" style="221" customWidth="1"/>
    <col min="8962" max="8962" width="24.7109375" style="221" customWidth="1"/>
    <col min="8963" max="8963" width="24" style="221" customWidth="1"/>
    <col min="8964" max="8964" width="11.7109375" style="221" customWidth="1"/>
    <col min="8965" max="8965" width="16" style="221" bestFit="1" customWidth="1"/>
    <col min="8966" max="8966" width="9.28515625" style="221" customWidth="1"/>
    <col min="8967" max="8967" width="15.7109375" style="221" customWidth="1"/>
    <col min="8968" max="8968" width="16.42578125" style="221" bestFit="1" customWidth="1"/>
    <col min="8969" max="8970" width="15.7109375" style="221" customWidth="1"/>
    <col min="8971" max="8971" width="4.7109375" style="221" bestFit="1" customWidth="1"/>
    <col min="8972" max="8972" width="15.42578125" style="221"/>
    <col min="8973" max="8973" width="15.5703125" style="221" bestFit="1" customWidth="1"/>
    <col min="8974" max="9216" width="15.42578125" style="221"/>
    <col min="9217" max="9217" width="3.140625" style="221" customWidth="1"/>
    <col min="9218" max="9218" width="24.7109375" style="221" customWidth="1"/>
    <col min="9219" max="9219" width="24" style="221" customWidth="1"/>
    <col min="9220" max="9220" width="11.7109375" style="221" customWidth="1"/>
    <col min="9221" max="9221" width="16" style="221" bestFit="1" customWidth="1"/>
    <col min="9222" max="9222" width="9.28515625" style="221" customWidth="1"/>
    <col min="9223" max="9223" width="15.7109375" style="221" customWidth="1"/>
    <col min="9224" max="9224" width="16.42578125" style="221" bestFit="1" customWidth="1"/>
    <col min="9225" max="9226" width="15.7109375" style="221" customWidth="1"/>
    <col min="9227" max="9227" width="4.7109375" style="221" bestFit="1" customWidth="1"/>
    <col min="9228" max="9228" width="15.42578125" style="221"/>
    <col min="9229" max="9229" width="15.5703125" style="221" bestFit="1" customWidth="1"/>
    <col min="9230" max="9472" width="15.42578125" style="221"/>
    <col min="9473" max="9473" width="3.140625" style="221" customWidth="1"/>
    <col min="9474" max="9474" width="24.7109375" style="221" customWidth="1"/>
    <col min="9475" max="9475" width="24" style="221" customWidth="1"/>
    <col min="9476" max="9476" width="11.7109375" style="221" customWidth="1"/>
    <col min="9477" max="9477" width="16" style="221" bestFit="1" customWidth="1"/>
    <col min="9478" max="9478" width="9.28515625" style="221" customWidth="1"/>
    <col min="9479" max="9479" width="15.7109375" style="221" customWidth="1"/>
    <col min="9480" max="9480" width="16.42578125" style="221" bestFit="1" customWidth="1"/>
    <col min="9481" max="9482" width="15.7109375" style="221" customWidth="1"/>
    <col min="9483" max="9483" width="4.7109375" style="221" bestFit="1" customWidth="1"/>
    <col min="9484" max="9484" width="15.42578125" style="221"/>
    <col min="9485" max="9485" width="15.5703125" style="221" bestFit="1" customWidth="1"/>
    <col min="9486" max="9728" width="15.42578125" style="221"/>
    <col min="9729" max="9729" width="3.140625" style="221" customWidth="1"/>
    <col min="9730" max="9730" width="24.7109375" style="221" customWidth="1"/>
    <col min="9731" max="9731" width="24" style="221" customWidth="1"/>
    <col min="9732" max="9732" width="11.7109375" style="221" customWidth="1"/>
    <col min="9733" max="9733" width="16" style="221" bestFit="1" customWidth="1"/>
    <col min="9734" max="9734" width="9.28515625" style="221" customWidth="1"/>
    <col min="9735" max="9735" width="15.7109375" style="221" customWidth="1"/>
    <col min="9736" max="9736" width="16.42578125" style="221" bestFit="1" customWidth="1"/>
    <col min="9737" max="9738" width="15.7109375" style="221" customWidth="1"/>
    <col min="9739" max="9739" width="4.7109375" style="221" bestFit="1" customWidth="1"/>
    <col min="9740" max="9740" width="15.42578125" style="221"/>
    <col min="9741" max="9741" width="15.5703125" style="221" bestFit="1" customWidth="1"/>
    <col min="9742" max="9984" width="15.42578125" style="221"/>
    <col min="9985" max="9985" width="3.140625" style="221" customWidth="1"/>
    <col min="9986" max="9986" width="24.7109375" style="221" customWidth="1"/>
    <col min="9987" max="9987" width="24" style="221" customWidth="1"/>
    <col min="9988" max="9988" width="11.7109375" style="221" customWidth="1"/>
    <col min="9989" max="9989" width="16" style="221" bestFit="1" customWidth="1"/>
    <col min="9990" max="9990" width="9.28515625" style="221" customWidth="1"/>
    <col min="9991" max="9991" width="15.7109375" style="221" customWidth="1"/>
    <col min="9992" max="9992" width="16.42578125" style="221" bestFit="1" customWidth="1"/>
    <col min="9993" max="9994" width="15.7109375" style="221" customWidth="1"/>
    <col min="9995" max="9995" width="4.7109375" style="221" bestFit="1" customWidth="1"/>
    <col min="9996" max="9996" width="15.42578125" style="221"/>
    <col min="9997" max="9997" width="15.5703125" style="221" bestFit="1" customWidth="1"/>
    <col min="9998" max="10240" width="15.42578125" style="221"/>
    <col min="10241" max="10241" width="3.140625" style="221" customWidth="1"/>
    <col min="10242" max="10242" width="24.7109375" style="221" customWidth="1"/>
    <col min="10243" max="10243" width="24" style="221" customWidth="1"/>
    <col min="10244" max="10244" width="11.7109375" style="221" customWidth="1"/>
    <col min="10245" max="10245" width="16" style="221" bestFit="1" customWidth="1"/>
    <col min="10246" max="10246" width="9.28515625" style="221" customWidth="1"/>
    <col min="10247" max="10247" width="15.7109375" style="221" customWidth="1"/>
    <col min="10248" max="10248" width="16.42578125" style="221" bestFit="1" customWidth="1"/>
    <col min="10249" max="10250" width="15.7109375" style="221" customWidth="1"/>
    <col min="10251" max="10251" width="4.7109375" style="221" bestFit="1" customWidth="1"/>
    <col min="10252" max="10252" width="15.42578125" style="221"/>
    <col min="10253" max="10253" width="15.5703125" style="221" bestFit="1" customWidth="1"/>
    <col min="10254" max="10496" width="15.42578125" style="221"/>
    <col min="10497" max="10497" width="3.140625" style="221" customWidth="1"/>
    <col min="10498" max="10498" width="24.7109375" style="221" customWidth="1"/>
    <col min="10499" max="10499" width="24" style="221" customWidth="1"/>
    <col min="10500" max="10500" width="11.7109375" style="221" customWidth="1"/>
    <col min="10501" max="10501" width="16" style="221" bestFit="1" customWidth="1"/>
    <col min="10502" max="10502" width="9.28515625" style="221" customWidth="1"/>
    <col min="10503" max="10503" width="15.7109375" style="221" customWidth="1"/>
    <col min="10504" max="10504" width="16.42578125" style="221" bestFit="1" customWidth="1"/>
    <col min="10505" max="10506" width="15.7109375" style="221" customWidth="1"/>
    <col min="10507" max="10507" width="4.7109375" style="221" bestFit="1" customWidth="1"/>
    <col min="10508" max="10508" width="15.42578125" style="221"/>
    <col min="10509" max="10509" width="15.5703125" style="221" bestFit="1" customWidth="1"/>
    <col min="10510" max="10752" width="15.42578125" style="221"/>
    <col min="10753" max="10753" width="3.140625" style="221" customWidth="1"/>
    <col min="10754" max="10754" width="24.7109375" style="221" customWidth="1"/>
    <col min="10755" max="10755" width="24" style="221" customWidth="1"/>
    <col min="10756" max="10756" width="11.7109375" style="221" customWidth="1"/>
    <col min="10757" max="10757" width="16" style="221" bestFit="1" customWidth="1"/>
    <col min="10758" max="10758" width="9.28515625" style="221" customWidth="1"/>
    <col min="10759" max="10759" width="15.7109375" style="221" customWidth="1"/>
    <col min="10760" max="10760" width="16.42578125" style="221" bestFit="1" customWidth="1"/>
    <col min="10761" max="10762" width="15.7109375" style="221" customWidth="1"/>
    <col min="10763" max="10763" width="4.7109375" style="221" bestFit="1" customWidth="1"/>
    <col min="10764" max="10764" width="15.42578125" style="221"/>
    <col min="10765" max="10765" width="15.5703125" style="221" bestFit="1" customWidth="1"/>
    <col min="10766" max="11008" width="15.42578125" style="221"/>
    <col min="11009" max="11009" width="3.140625" style="221" customWidth="1"/>
    <col min="11010" max="11010" width="24.7109375" style="221" customWidth="1"/>
    <col min="11011" max="11011" width="24" style="221" customWidth="1"/>
    <col min="11012" max="11012" width="11.7109375" style="221" customWidth="1"/>
    <col min="11013" max="11013" width="16" style="221" bestFit="1" customWidth="1"/>
    <col min="11014" max="11014" width="9.28515625" style="221" customWidth="1"/>
    <col min="11015" max="11015" width="15.7109375" style="221" customWidth="1"/>
    <col min="11016" max="11016" width="16.42578125" style="221" bestFit="1" customWidth="1"/>
    <col min="11017" max="11018" width="15.7109375" style="221" customWidth="1"/>
    <col min="11019" max="11019" width="4.7109375" style="221" bestFit="1" customWidth="1"/>
    <col min="11020" max="11020" width="15.42578125" style="221"/>
    <col min="11021" max="11021" width="15.5703125" style="221" bestFit="1" customWidth="1"/>
    <col min="11022" max="11264" width="15.42578125" style="221"/>
    <col min="11265" max="11265" width="3.140625" style="221" customWidth="1"/>
    <col min="11266" max="11266" width="24.7109375" style="221" customWidth="1"/>
    <col min="11267" max="11267" width="24" style="221" customWidth="1"/>
    <col min="11268" max="11268" width="11.7109375" style="221" customWidth="1"/>
    <col min="11269" max="11269" width="16" style="221" bestFit="1" customWidth="1"/>
    <col min="11270" max="11270" width="9.28515625" style="221" customWidth="1"/>
    <col min="11271" max="11271" width="15.7109375" style="221" customWidth="1"/>
    <col min="11272" max="11272" width="16.42578125" style="221" bestFit="1" customWidth="1"/>
    <col min="11273" max="11274" width="15.7109375" style="221" customWidth="1"/>
    <col min="11275" max="11275" width="4.7109375" style="221" bestFit="1" customWidth="1"/>
    <col min="11276" max="11276" width="15.42578125" style="221"/>
    <col min="11277" max="11277" width="15.5703125" style="221" bestFit="1" customWidth="1"/>
    <col min="11278" max="11520" width="15.42578125" style="221"/>
    <col min="11521" max="11521" width="3.140625" style="221" customWidth="1"/>
    <col min="11522" max="11522" width="24.7109375" style="221" customWidth="1"/>
    <col min="11523" max="11523" width="24" style="221" customWidth="1"/>
    <col min="11524" max="11524" width="11.7109375" style="221" customWidth="1"/>
    <col min="11525" max="11525" width="16" style="221" bestFit="1" customWidth="1"/>
    <col min="11526" max="11526" width="9.28515625" style="221" customWidth="1"/>
    <col min="11527" max="11527" width="15.7109375" style="221" customWidth="1"/>
    <col min="11528" max="11528" width="16.42578125" style="221" bestFit="1" customWidth="1"/>
    <col min="11529" max="11530" width="15.7109375" style="221" customWidth="1"/>
    <col min="11531" max="11531" width="4.7109375" style="221" bestFit="1" customWidth="1"/>
    <col min="11532" max="11532" width="15.42578125" style="221"/>
    <col min="11533" max="11533" width="15.5703125" style="221" bestFit="1" customWidth="1"/>
    <col min="11534" max="11776" width="15.42578125" style="221"/>
    <col min="11777" max="11777" width="3.140625" style="221" customWidth="1"/>
    <col min="11778" max="11778" width="24.7109375" style="221" customWidth="1"/>
    <col min="11779" max="11779" width="24" style="221" customWidth="1"/>
    <col min="11780" max="11780" width="11.7109375" style="221" customWidth="1"/>
    <col min="11781" max="11781" width="16" style="221" bestFit="1" customWidth="1"/>
    <col min="11782" max="11782" width="9.28515625" style="221" customWidth="1"/>
    <col min="11783" max="11783" width="15.7109375" style="221" customWidth="1"/>
    <col min="11784" max="11784" width="16.42578125" style="221" bestFit="1" customWidth="1"/>
    <col min="11785" max="11786" width="15.7109375" style="221" customWidth="1"/>
    <col min="11787" max="11787" width="4.7109375" style="221" bestFit="1" customWidth="1"/>
    <col min="11788" max="11788" width="15.42578125" style="221"/>
    <col min="11789" max="11789" width="15.5703125" style="221" bestFit="1" customWidth="1"/>
    <col min="11790" max="12032" width="15.42578125" style="221"/>
    <col min="12033" max="12033" width="3.140625" style="221" customWidth="1"/>
    <col min="12034" max="12034" width="24.7109375" style="221" customWidth="1"/>
    <col min="12035" max="12035" width="24" style="221" customWidth="1"/>
    <col min="12036" max="12036" width="11.7109375" style="221" customWidth="1"/>
    <col min="12037" max="12037" width="16" style="221" bestFit="1" customWidth="1"/>
    <col min="12038" max="12038" width="9.28515625" style="221" customWidth="1"/>
    <col min="12039" max="12039" width="15.7109375" style="221" customWidth="1"/>
    <col min="12040" max="12040" width="16.42578125" style="221" bestFit="1" customWidth="1"/>
    <col min="12041" max="12042" width="15.7109375" style="221" customWidth="1"/>
    <col min="12043" max="12043" width="4.7109375" style="221" bestFit="1" customWidth="1"/>
    <col min="12044" max="12044" width="15.42578125" style="221"/>
    <col min="12045" max="12045" width="15.5703125" style="221" bestFit="1" customWidth="1"/>
    <col min="12046" max="12288" width="15.42578125" style="221"/>
    <col min="12289" max="12289" width="3.140625" style="221" customWidth="1"/>
    <col min="12290" max="12290" width="24.7109375" style="221" customWidth="1"/>
    <col min="12291" max="12291" width="24" style="221" customWidth="1"/>
    <col min="12292" max="12292" width="11.7109375" style="221" customWidth="1"/>
    <col min="12293" max="12293" width="16" style="221" bestFit="1" customWidth="1"/>
    <col min="12294" max="12294" width="9.28515625" style="221" customWidth="1"/>
    <col min="12295" max="12295" width="15.7109375" style="221" customWidth="1"/>
    <col min="12296" max="12296" width="16.42578125" style="221" bestFit="1" customWidth="1"/>
    <col min="12297" max="12298" width="15.7109375" style="221" customWidth="1"/>
    <col min="12299" max="12299" width="4.7109375" style="221" bestFit="1" customWidth="1"/>
    <col min="12300" max="12300" width="15.42578125" style="221"/>
    <col min="12301" max="12301" width="15.5703125" style="221" bestFit="1" customWidth="1"/>
    <col min="12302" max="12544" width="15.42578125" style="221"/>
    <col min="12545" max="12545" width="3.140625" style="221" customWidth="1"/>
    <col min="12546" max="12546" width="24.7109375" style="221" customWidth="1"/>
    <col min="12547" max="12547" width="24" style="221" customWidth="1"/>
    <col min="12548" max="12548" width="11.7109375" style="221" customWidth="1"/>
    <col min="12549" max="12549" width="16" style="221" bestFit="1" customWidth="1"/>
    <col min="12550" max="12550" width="9.28515625" style="221" customWidth="1"/>
    <col min="12551" max="12551" width="15.7109375" style="221" customWidth="1"/>
    <col min="12552" max="12552" width="16.42578125" style="221" bestFit="1" customWidth="1"/>
    <col min="12553" max="12554" width="15.7109375" style="221" customWidth="1"/>
    <col min="12555" max="12555" width="4.7109375" style="221" bestFit="1" customWidth="1"/>
    <col min="12556" max="12556" width="15.42578125" style="221"/>
    <col min="12557" max="12557" width="15.5703125" style="221" bestFit="1" customWidth="1"/>
    <col min="12558" max="12800" width="15.42578125" style="221"/>
    <col min="12801" max="12801" width="3.140625" style="221" customWidth="1"/>
    <col min="12802" max="12802" width="24.7109375" style="221" customWidth="1"/>
    <col min="12803" max="12803" width="24" style="221" customWidth="1"/>
    <col min="12804" max="12804" width="11.7109375" style="221" customWidth="1"/>
    <col min="12805" max="12805" width="16" style="221" bestFit="1" customWidth="1"/>
    <col min="12806" max="12806" width="9.28515625" style="221" customWidth="1"/>
    <col min="12807" max="12807" width="15.7109375" style="221" customWidth="1"/>
    <col min="12808" max="12808" width="16.42578125" style="221" bestFit="1" customWidth="1"/>
    <col min="12809" max="12810" width="15.7109375" style="221" customWidth="1"/>
    <col min="12811" max="12811" width="4.7109375" style="221" bestFit="1" customWidth="1"/>
    <col min="12812" max="12812" width="15.42578125" style="221"/>
    <col min="12813" max="12813" width="15.5703125" style="221" bestFit="1" customWidth="1"/>
    <col min="12814" max="13056" width="15.42578125" style="221"/>
    <col min="13057" max="13057" width="3.140625" style="221" customWidth="1"/>
    <col min="13058" max="13058" width="24.7109375" style="221" customWidth="1"/>
    <col min="13059" max="13059" width="24" style="221" customWidth="1"/>
    <col min="13060" max="13060" width="11.7109375" style="221" customWidth="1"/>
    <col min="13061" max="13061" width="16" style="221" bestFit="1" customWidth="1"/>
    <col min="13062" max="13062" width="9.28515625" style="221" customWidth="1"/>
    <col min="13063" max="13063" width="15.7109375" style="221" customWidth="1"/>
    <col min="13064" max="13064" width="16.42578125" style="221" bestFit="1" customWidth="1"/>
    <col min="13065" max="13066" width="15.7109375" style="221" customWidth="1"/>
    <col min="13067" max="13067" width="4.7109375" style="221" bestFit="1" customWidth="1"/>
    <col min="13068" max="13068" width="15.42578125" style="221"/>
    <col min="13069" max="13069" width="15.5703125" style="221" bestFit="1" customWidth="1"/>
    <col min="13070" max="13312" width="15.42578125" style="221"/>
    <col min="13313" max="13313" width="3.140625" style="221" customWidth="1"/>
    <col min="13314" max="13314" width="24.7109375" style="221" customWidth="1"/>
    <col min="13315" max="13315" width="24" style="221" customWidth="1"/>
    <col min="13316" max="13316" width="11.7109375" style="221" customWidth="1"/>
    <col min="13317" max="13317" width="16" style="221" bestFit="1" customWidth="1"/>
    <col min="13318" max="13318" width="9.28515625" style="221" customWidth="1"/>
    <col min="13319" max="13319" width="15.7109375" style="221" customWidth="1"/>
    <col min="13320" max="13320" width="16.42578125" style="221" bestFit="1" customWidth="1"/>
    <col min="13321" max="13322" width="15.7109375" style="221" customWidth="1"/>
    <col min="13323" max="13323" width="4.7109375" style="221" bestFit="1" customWidth="1"/>
    <col min="13324" max="13324" width="15.42578125" style="221"/>
    <col min="13325" max="13325" width="15.5703125" style="221" bestFit="1" customWidth="1"/>
    <col min="13326" max="13568" width="15.42578125" style="221"/>
    <col min="13569" max="13569" width="3.140625" style="221" customWidth="1"/>
    <col min="13570" max="13570" width="24.7109375" style="221" customWidth="1"/>
    <col min="13571" max="13571" width="24" style="221" customWidth="1"/>
    <col min="13572" max="13572" width="11.7109375" style="221" customWidth="1"/>
    <col min="13573" max="13573" width="16" style="221" bestFit="1" customWidth="1"/>
    <col min="13574" max="13574" width="9.28515625" style="221" customWidth="1"/>
    <col min="13575" max="13575" width="15.7109375" style="221" customWidth="1"/>
    <col min="13576" max="13576" width="16.42578125" style="221" bestFit="1" customWidth="1"/>
    <col min="13577" max="13578" width="15.7109375" style="221" customWidth="1"/>
    <col min="13579" max="13579" width="4.7109375" style="221" bestFit="1" customWidth="1"/>
    <col min="13580" max="13580" width="15.42578125" style="221"/>
    <col min="13581" max="13581" width="15.5703125" style="221" bestFit="1" customWidth="1"/>
    <col min="13582" max="13824" width="15.42578125" style="221"/>
    <col min="13825" max="13825" width="3.140625" style="221" customWidth="1"/>
    <col min="13826" max="13826" width="24.7109375" style="221" customWidth="1"/>
    <col min="13827" max="13827" width="24" style="221" customWidth="1"/>
    <col min="13828" max="13828" width="11.7109375" style="221" customWidth="1"/>
    <col min="13829" max="13829" width="16" style="221" bestFit="1" customWidth="1"/>
    <col min="13830" max="13830" width="9.28515625" style="221" customWidth="1"/>
    <col min="13831" max="13831" width="15.7109375" style="221" customWidth="1"/>
    <col min="13832" max="13832" width="16.42578125" style="221" bestFit="1" customWidth="1"/>
    <col min="13833" max="13834" width="15.7109375" style="221" customWidth="1"/>
    <col min="13835" max="13835" width="4.7109375" style="221" bestFit="1" customWidth="1"/>
    <col min="13836" max="13836" width="15.42578125" style="221"/>
    <col min="13837" max="13837" width="15.5703125" style="221" bestFit="1" customWidth="1"/>
    <col min="13838" max="14080" width="15.42578125" style="221"/>
    <col min="14081" max="14081" width="3.140625" style="221" customWidth="1"/>
    <col min="14082" max="14082" width="24.7109375" style="221" customWidth="1"/>
    <col min="14083" max="14083" width="24" style="221" customWidth="1"/>
    <col min="14084" max="14084" width="11.7109375" style="221" customWidth="1"/>
    <col min="14085" max="14085" width="16" style="221" bestFit="1" customWidth="1"/>
    <col min="14086" max="14086" width="9.28515625" style="221" customWidth="1"/>
    <col min="14087" max="14087" width="15.7109375" style="221" customWidth="1"/>
    <col min="14088" max="14088" width="16.42578125" style="221" bestFit="1" customWidth="1"/>
    <col min="14089" max="14090" width="15.7109375" style="221" customWidth="1"/>
    <col min="14091" max="14091" width="4.7109375" style="221" bestFit="1" customWidth="1"/>
    <col min="14092" max="14092" width="15.42578125" style="221"/>
    <col min="14093" max="14093" width="15.5703125" style="221" bestFit="1" customWidth="1"/>
    <col min="14094" max="14336" width="15.42578125" style="221"/>
    <col min="14337" max="14337" width="3.140625" style="221" customWidth="1"/>
    <col min="14338" max="14338" width="24.7109375" style="221" customWidth="1"/>
    <col min="14339" max="14339" width="24" style="221" customWidth="1"/>
    <col min="14340" max="14340" width="11.7109375" style="221" customWidth="1"/>
    <col min="14341" max="14341" width="16" style="221" bestFit="1" customWidth="1"/>
    <col min="14342" max="14342" width="9.28515625" style="221" customWidth="1"/>
    <col min="14343" max="14343" width="15.7109375" style="221" customWidth="1"/>
    <col min="14344" max="14344" width="16.42578125" style="221" bestFit="1" customWidth="1"/>
    <col min="14345" max="14346" width="15.7109375" style="221" customWidth="1"/>
    <col min="14347" max="14347" width="4.7109375" style="221" bestFit="1" customWidth="1"/>
    <col min="14348" max="14348" width="15.42578125" style="221"/>
    <col min="14349" max="14349" width="15.5703125" style="221" bestFit="1" customWidth="1"/>
    <col min="14350" max="14592" width="15.42578125" style="221"/>
    <col min="14593" max="14593" width="3.140625" style="221" customWidth="1"/>
    <col min="14594" max="14594" width="24.7109375" style="221" customWidth="1"/>
    <col min="14595" max="14595" width="24" style="221" customWidth="1"/>
    <col min="14596" max="14596" width="11.7109375" style="221" customWidth="1"/>
    <col min="14597" max="14597" width="16" style="221" bestFit="1" customWidth="1"/>
    <col min="14598" max="14598" width="9.28515625" style="221" customWidth="1"/>
    <col min="14599" max="14599" width="15.7109375" style="221" customWidth="1"/>
    <col min="14600" max="14600" width="16.42578125" style="221" bestFit="1" customWidth="1"/>
    <col min="14601" max="14602" width="15.7109375" style="221" customWidth="1"/>
    <col min="14603" max="14603" width="4.7109375" style="221" bestFit="1" customWidth="1"/>
    <col min="14604" max="14604" width="15.42578125" style="221"/>
    <col min="14605" max="14605" width="15.5703125" style="221" bestFit="1" customWidth="1"/>
    <col min="14606" max="14848" width="15.42578125" style="221"/>
    <col min="14849" max="14849" width="3.140625" style="221" customWidth="1"/>
    <col min="14850" max="14850" width="24.7109375" style="221" customWidth="1"/>
    <col min="14851" max="14851" width="24" style="221" customWidth="1"/>
    <col min="14852" max="14852" width="11.7109375" style="221" customWidth="1"/>
    <col min="14853" max="14853" width="16" style="221" bestFit="1" customWidth="1"/>
    <col min="14854" max="14854" width="9.28515625" style="221" customWidth="1"/>
    <col min="14855" max="14855" width="15.7109375" style="221" customWidth="1"/>
    <col min="14856" max="14856" width="16.42578125" style="221" bestFit="1" customWidth="1"/>
    <col min="14857" max="14858" width="15.7109375" style="221" customWidth="1"/>
    <col min="14859" max="14859" width="4.7109375" style="221" bestFit="1" customWidth="1"/>
    <col min="14860" max="14860" width="15.42578125" style="221"/>
    <col min="14861" max="14861" width="15.5703125" style="221" bestFit="1" customWidth="1"/>
    <col min="14862" max="15104" width="15.42578125" style="221"/>
    <col min="15105" max="15105" width="3.140625" style="221" customWidth="1"/>
    <col min="15106" max="15106" width="24.7109375" style="221" customWidth="1"/>
    <col min="15107" max="15107" width="24" style="221" customWidth="1"/>
    <col min="15108" max="15108" width="11.7109375" style="221" customWidth="1"/>
    <col min="15109" max="15109" width="16" style="221" bestFit="1" customWidth="1"/>
    <col min="15110" max="15110" width="9.28515625" style="221" customWidth="1"/>
    <col min="15111" max="15111" width="15.7109375" style="221" customWidth="1"/>
    <col min="15112" max="15112" width="16.42578125" style="221" bestFit="1" customWidth="1"/>
    <col min="15113" max="15114" width="15.7109375" style="221" customWidth="1"/>
    <col min="15115" max="15115" width="4.7109375" style="221" bestFit="1" customWidth="1"/>
    <col min="15116" max="15116" width="15.42578125" style="221"/>
    <col min="15117" max="15117" width="15.5703125" style="221" bestFit="1" customWidth="1"/>
    <col min="15118" max="15360" width="15.42578125" style="221"/>
    <col min="15361" max="15361" width="3.140625" style="221" customWidth="1"/>
    <col min="15362" max="15362" width="24.7109375" style="221" customWidth="1"/>
    <col min="15363" max="15363" width="24" style="221" customWidth="1"/>
    <col min="15364" max="15364" width="11.7109375" style="221" customWidth="1"/>
    <col min="15365" max="15365" width="16" style="221" bestFit="1" customWidth="1"/>
    <col min="15366" max="15366" width="9.28515625" style="221" customWidth="1"/>
    <col min="15367" max="15367" width="15.7109375" style="221" customWidth="1"/>
    <col min="15368" max="15368" width="16.42578125" style="221" bestFit="1" customWidth="1"/>
    <col min="15369" max="15370" width="15.7109375" style="221" customWidth="1"/>
    <col min="15371" max="15371" width="4.7109375" style="221" bestFit="1" customWidth="1"/>
    <col min="15372" max="15372" width="15.42578125" style="221"/>
    <col min="15373" max="15373" width="15.5703125" style="221" bestFit="1" customWidth="1"/>
    <col min="15374" max="15616" width="15.42578125" style="221"/>
    <col min="15617" max="15617" width="3.140625" style="221" customWidth="1"/>
    <col min="15618" max="15618" width="24.7109375" style="221" customWidth="1"/>
    <col min="15619" max="15619" width="24" style="221" customWidth="1"/>
    <col min="15620" max="15620" width="11.7109375" style="221" customWidth="1"/>
    <col min="15621" max="15621" width="16" style="221" bestFit="1" customWidth="1"/>
    <col min="15622" max="15622" width="9.28515625" style="221" customWidth="1"/>
    <col min="15623" max="15623" width="15.7109375" style="221" customWidth="1"/>
    <col min="15624" max="15624" width="16.42578125" style="221" bestFit="1" customWidth="1"/>
    <col min="15625" max="15626" width="15.7109375" style="221" customWidth="1"/>
    <col min="15627" max="15627" width="4.7109375" style="221" bestFit="1" customWidth="1"/>
    <col min="15628" max="15628" width="15.42578125" style="221"/>
    <col min="15629" max="15629" width="15.5703125" style="221" bestFit="1" customWidth="1"/>
    <col min="15630" max="15872" width="15.42578125" style="221"/>
    <col min="15873" max="15873" width="3.140625" style="221" customWidth="1"/>
    <col min="15874" max="15874" width="24.7109375" style="221" customWidth="1"/>
    <col min="15875" max="15875" width="24" style="221" customWidth="1"/>
    <col min="15876" max="15876" width="11.7109375" style="221" customWidth="1"/>
    <col min="15877" max="15877" width="16" style="221" bestFit="1" customWidth="1"/>
    <col min="15878" max="15878" width="9.28515625" style="221" customWidth="1"/>
    <col min="15879" max="15879" width="15.7109375" style="221" customWidth="1"/>
    <col min="15880" max="15880" width="16.42578125" style="221" bestFit="1" customWidth="1"/>
    <col min="15881" max="15882" width="15.7109375" style="221" customWidth="1"/>
    <col min="15883" max="15883" width="4.7109375" style="221" bestFit="1" customWidth="1"/>
    <col min="15884" max="15884" width="15.42578125" style="221"/>
    <col min="15885" max="15885" width="15.5703125" style="221" bestFit="1" customWidth="1"/>
    <col min="15886" max="16128" width="15.42578125" style="221"/>
    <col min="16129" max="16129" width="3.140625" style="221" customWidth="1"/>
    <col min="16130" max="16130" width="24.7109375" style="221" customWidth="1"/>
    <col min="16131" max="16131" width="24" style="221" customWidth="1"/>
    <col min="16132" max="16132" width="11.7109375" style="221" customWidth="1"/>
    <col min="16133" max="16133" width="16" style="221" bestFit="1" customWidth="1"/>
    <col min="16134" max="16134" width="9.28515625" style="221" customWidth="1"/>
    <col min="16135" max="16135" width="15.7109375" style="221" customWidth="1"/>
    <col min="16136" max="16136" width="16.42578125" style="221" bestFit="1" customWidth="1"/>
    <col min="16137" max="16138" width="15.7109375" style="221" customWidth="1"/>
    <col min="16139" max="16139" width="4.7109375" style="221" bestFit="1" customWidth="1"/>
    <col min="16140" max="16140" width="15.42578125" style="221"/>
    <col min="16141" max="16141" width="15.5703125" style="221" bestFit="1" customWidth="1"/>
    <col min="16142" max="16384" width="15.42578125" style="221"/>
  </cols>
  <sheetData>
    <row r="1" spans="2:11" x14ac:dyDescent="0.25">
      <c r="J1" s="22" t="s">
        <v>445</v>
      </c>
    </row>
    <row r="2" spans="2:11" x14ac:dyDescent="0.25">
      <c r="J2" s="22" t="str">
        <f>+Cover!$A$5</f>
        <v>CAUSE NO. 45032-S13</v>
      </c>
    </row>
    <row r="3" spans="2:11" ht="16.5" thickBot="1" x14ac:dyDescent="0.3">
      <c r="J3" s="22" t="s">
        <v>57</v>
      </c>
    </row>
    <row r="4" spans="2:11" ht="16.5" thickTop="1" x14ac:dyDescent="0.25">
      <c r="B4" s="303" t="s">
        <v>451</v>
      </c>
      <c r="C4" s="304"/>
      <c r="D4" s="304"/>
      <c r="E4" s="304"/>
      <c r="F4" s="304"/>
      <c r="G4" s="304"/>
      <c r="H4" s="304"/>
      <c r="I4" s="304"/>
      <c r="J4" s="305"/>
      <c r="K4" s="222"/>
    </row>
    <row r="5" spans="2:11" x14ac:dyDescent="0.25">
      <c r="B5" s="223" t="s">
        <v>452</v>
      </c>
      <c r="C5" s="224"/>
      <c r="D5" s="224"/>
      <c r="E5" s="224"/>
      <c r="F5" s="224"/>
      <c r="G5" s="224"/>
      <c r="H5" s="224"/>
      <c r="I5" s="224"/>
      <c r="J5" s="225"/>
    </row>
    <row r="6" spans="2:11" x14ac:dyDescent="0.25">
      <c r="B6" s="226">
        <v>40755</v>
      </c>
      <c r="C6" s="224"/>
      <c r="D6" s="224"/>
      <c r="E6" s="224"/>
      <c r="F6" s="224"/>
      <c r="G6" s="224"/>
      <c r="H6" s="224"/>
      <c r="I6" s="224"/>
      <c r="J6" s="225"/>
    </row>
    <row r="7" spans="2:11" ht="16.5" thickBot="1" x14ac:dyDescent="0.3">
      <c r="B7" s="227"/>
      <c r="C7" s="228"/>
      <c r="D7" s="228"/>
      <c r="E7" s="228"/>
      <c r="F7" s="228"/>
      <c r="G7" s="228"/>
      <c r="H7" s="228"/>
      <c r="I7" s="228"/>
      <c r="J7" s="229"/>
    </row>
    <row r="8" spans="2:11" ht="16.5" thickTop="1" x14ac:dyDescent="0.25"/>
    <row r="9" spans="2:11" x14ac:dyDescent="0.25">
      <c r="B9" s="306" t="s">
        <v>108</v>
      </c>
      <c r="C9" s="307"/>
      <c r="D9" s="307"/>
      <c r="E9" s="307"/>
      <c r="F9" s="307"/>
      <c r="G9" s="307"/>
      <c r="H9" s="307"/>
      <c r="I9" s="307"/>
      <c r="J9" s="308"/>
    </row>
    <row r="10" spans="2:11" x14ac:dyDescent="0.25">
      <c r="G10" s="230" t="s">
        <v>109</v>
      </c>
      <c r="H10" s="230" t="s">
        <v>110</v>
      </c>
      <c r="I10" s="230" t="s">
        <v>111</v>
      </c>
      <c r="J10" s="230" t="s">
        <v>112</v>
      </c>
    </row>
    <row r="11" spans="2:11" x14ac:dyDescent="0.25">
      <c r="B11" s="231" t="s">
        <v>113</v>
      </c>
    </row>
    <row r="12" spans="2:11" x14ac:dyDescent="0.25">
      <c r="C12" s="231" t="s">
        <v>114</v>
      </c>
      <c r="D12" s="232">
        <v>40755</v>
      </c>
      <c r="H12" s="233">
        <v>1936695</v>
      </c>
    </row>
    <row r="13" spans="2:11" x14ac:dyDescent="0.25">
      <c r="C13" s="231" t="s">
        <v>115</v>
      </c>
      <c r="D13" s="232">
        <f>+D12</f>
        <v>40755</v>
      </c>
      <c r="H13" s="234">
        <f>3672540-2633323</f>
        <v>1039217</v>
      </c>
    </row>
    <row r="15" spans="2:11" x14ac:dyDescent="0.25">
      <c r="D15" s="231" t="s">
        <v>116</v>
      </c>
      <c r="H15" s="235">
        <f>H13-H12</f>
        <v>-897478</v>
      </c>
    </row>
    <row r="16" spans="2:11" x14ac:dyDescent="0.25">
      <c r="H16" s="235"/>
    </row>
    <row r="17" spans="2:13" x14ac:dyDescent="0.25">
      <c r="D17" s="231" t="s">
        <v>117</v>
      </c>
      <c r="G17" s="236">
        <v>-3303</v>
      </c>
      <c r="H17" s="235"/>
      <c r="I17" s="236"/>
    </row>
    <row r="18" spans="2:13" x14ac:dyDescent="0.25">
      <c r="D18" s="231" t="s">
        <v>118</v>
      </c>
      <c r="G18" s="236"/>
      <c r="H18" s="235"/>
      <c r="I18" s="236">
        <v>8181</v>
      </c>
    </row>
    <row r="19" spans="2:13" x14ac:dyDescent="0.25">
      <c r="D19" s="231" t="s">
        <v>453</v>
      </c>
      <c r="G19" s="236">
        <v>-5048</v>
      </c>
      <c r="H19" s="235"/>
      <c r="I19" s="236"/>
    </row>
    <row r="20" spans="2:13" x14ac:dyDescent="0.25">
      <c r="D20" s="231" t="s">
        <v>120</v>
      </c>
      <c r="G20" s="237"/>
      <c r="H20" s="237"/>
      <c r="I20" s="237"/>
      <c r="J20" s="234">
        <v>2911</v>
      </c>
      <c r="M20" s="233"/>
    </row>
    <row r="22" spans="2:13" ht="16.5" thickBot="1" x14ac:dyDescent="0.3">
      <c r="E22" s="231" t="s">
        <v>121</v>
      </c>
      <c r="G22" s="238">
        <f>SUM(G15:G20)</f>
        <v>-8351</v>
      </c>
      <c r="H22" s="238">
        <f>SUM(H15:H20)</f>
        <v>-897478</v>
      </c>
      <c r="I22" s="238">
        <f>SUM(I15:I20)</f>
        <v>8181</v>
      </c>
      <c r="J22" s="238">
        <f>SUM(J15:J20)</f>
        <v>2911</v>
      </c>
    </row>
    <row r="24" spans="2:13" x14ac:dyDescent="0.25">
      <c r="C24" s="231" t="s">
        <v>122</v>
      </c>
      <c r="D24" s="239">
        <v>8.5000000000000006E-2</v>
      </c>
      <c r="E24" s="240">
        <f>G24+H24+I24+J24</f>
        <v>-76052.645000000019</v>
      </c>
      <c r="F24" s="241"/>
      <c r="G24" s="242">
        <f>G22*$D$24</f>
        <v>-709.83500000000004</v>
      </c>
      <c r="H24" s="242">
        <f>H22*$D$24</f>
        <v>-76285.63</v>
      </c>
      <c r="I24" s="242">
        <f>I22*$D$24</f>
        <v>695.3850000000001</v>
      </c>
      <c r="J24" s="242">
        <f>J22*$D$24</f>
        <v>247.43500000000003</v>
      </c>
    </row>
    <row r="26" spans="2:13" ht="16.5" thickBot="1" x14ac:dyDescent="0.3">
      <c r="D26" s="243" t="s">
        <v>123</v>
      </c>
      <c r="E26" s="244">
        <f>ROUND(SUM(E24:E25),0)</f>
        <v>-76053</v>
      </c>
      <c r="F26" s="241"/>
      <c r="G26" s="245">
        <f>SUM(G24:G24)</f>
        <v>-709.83500000000004</v>
      </c>
      <c r="H26" s="245">
        <f>SUM(H24:H24)</f>
        <v>-76285.63</v>
      </c>
      <c r="I26" s="245">
        <f>SUM(I24:I24)</f>
        <v>695.3850000000001</v>
      </c>
      <c r="J26" s="245">
        <f>SUM(J24:J24)</f>
        <v>247.43500000000003</v>
      </c>
    </row>
    <row r="27" spans="2:13" ht="16.5" thickTop="1" x14ac:dyDescent="0.25">
      <c r="E27" s="233"/>
      <c r="H27" s="240"/>
    </row>
    <row r="29" spans="2:13" x14ac:dyDescent="0.25">
      <c r="B29" s="306" t="s">
        <v>125</v>
      </c>
      <c r="C29" s="307"/>
      <c r="D29" s="307"/>
      <c r="E29" s="307"/>
      <c r="F29" s="307"/>
      <c r="G29" s="307"/>
      <c r="H29" s="307"/>
      <c r="I29" s="307"/>
      <c r="J29" s="308"/>
    </row>
    <row r="30" spans="2:13" x14ac:dyDescent="0.25">
      <c r="G30" s="230" t="s">
        <v>109</v>
      </c>
      <c r="H30" s="230" t="s">
        <v>110</v>
      </c>
      <c r="I30" s="230" t="s">
        <v>111</v>
      </c>
      <c r="J30" s="230" t="s">
        <v>112</v>
      </c>
    </row>
    <row r="31" spans="2:13" x14ac:dyDescent="0.25">
      <c r="B31" s="231" t="s">
        <v>113</v>
      </c>
    </row>
    <row r="32" spans="2:13" x14ac:dyDescent="0.25">
      <c r="C32" s="231" t="s">
        <v>114</v>
      </c>
      <c r="D32" s="232">
        <f>+D12</f>
        <v>40755</v>
      </c>
      <c r="H32" s="233">
        <f>+H12</f>
        <v>1936695</v>
      </c>
    </row>
    <row r="33" spans="3:10" x14ac:dyDescent="0.25">
      <c r="C33" s="231" t="s">
        <v>115</v>
      </c>
      <c r="D33" s="232">
        <f>+D12</f>
        <v>40755</v>
      </c>
      <c r="H33" s="234">
        <f>3672540-3131486</f>
        <v>541054</v>
      </c>
    </row>
    <row r="35" spans="3:10" x14ac:dyDescent="0.25">
      <c r="D35" s="231" t="s">
        <v>116</v>
      </c>
      <c r="H35" s="235">
        <f>H33-H32</f>
        <v>-1395641</v>
      </c>
    </row>
    <row r="36" spans="3:10" x14ac:dyDescent="0.25">
      <c r="H36" s="235"/>
    </row>
    <row r="37" spans="3:10" x14ac:dyDescent="0.25">
      <c r="D37" s="231" t="str">
        <f>+D17</f>
        <v>ACCRUED SALARY</v>
      </c>
      <c r="G37" s="236">
        <f>+G17</f>
        <v>-3303</v>
      </c>
      <c r="H37" s="235"/>
      <c r="I37" s="236"/>
    </row>
    <row r="38" spans="3:10" x14ac:dyDescent="0.25">
      <c r="D38" s="231" t="str">
        <f>+D18</f>
        <v>UNBILLED REVENUE</v>
      </c>
      <c r="G38" s="236"/>
      <c r="H38" s="235"/>
      <c r="I38" s="236">
        <f>+I18</f>
        <v>8181</v>
      </c>
    </row>
    <row r="39" spans="3:10" x14ac:dyDescent="0.25">
      <c r="D39" s="231" t="str">
        <f>+D19</f>
        <v>DEFERRED CREDITS - REFUNDS</v>
      </c>
      <c r="G39" s="236">
        <f>+G19</f>
        <v>-5048</v>
      </c>
      <c r="H39" s="235"/>
      <c r="I39" s="236"/>
    </row>
    <row r="40" spans="3:10" x14ac:dyDescent="0.25">
      <c r="D40" s="231" t="str">
        <f>+D20</f>
        <v>UNAMORTIZED RATE CASE</v>
      </c>
      <c r="G40" s="246"/>
      <c r="H40" s="246"/>
      <c r="I40" s="246"/>
      <c r="J40" s="247">
        <f>+J20</f>
        <v>2911</v>
      </c>
    </row>
    <row r="41" spans="3:10" x14ac:dyDescent="0.25">
      <c r="D41" s="231" t="s">
        <v>454</v>
      </c>
      <c r="G41" s="242"/>
      <c r="H41" s="237"/>
      <c r="I41" s="237"/>
      <c r="J41" s="234">
        <v>26200</v>
      </c>
    </row>
    <row r="43" spans="3:10" ht="16.5" thickBot="1" x14ac:dyDescent="0.3">
      <c r="E43" s="231" t="s">
        <v>121</v>
      </c>
      <c r="G43" s="238">
        <f>SUM(G35:G41)</f>
        <v>-8351</v>
      </c>
      <c r="H43" s="238">
        <f>SUM(H35:H41)</f>
        <v>-1395641</v>
      </c>
      <c r="I43" s="238">
        <f>SUM(I35:I41)</f>
        <v>8181</v>
      </c>
      <c r="J43" s="238">
        <f>SUM(J35:J41)</f>
        <v>29111</v>
      </c>
    </row>
    <row r="45" spans="3:10" x14ac:dyDescent="0.25">
      <c r="C45" s="231" t="s">
        <v>126</v>
      </c>
      <c r="D45" s="248">
        <v>0.34</v>
      </c>
      <c r="E45" s="242">
        <f>G45+H45+I45+J45</f>
        <v>-438820.10070000001</v>
      </c>
      <c r="F45" s="249"/>
      <c r="G45" s="242">
        <f>(G43-G24)*$D$45</f>
        <v>-2597.9961000000003</v>
      </c>
      <c r="H45" s="242">
        <f>(H43-H24)*$D$45</f>
        <v>-448580.82580000005</v>
      </c>
      <c r="I45" s="242">
        <f>(I43-I24)*$D$45</f>
        <v>2545.1091000000001</v>
      </c>
      <c r="J45" s="242">
        <f>(J43-J24)*$D$45</f>
        <v>9813.6121000000003</v>
      </c>
    </row>
    <row r="47" spans="3:10" ht="16.5" thickBot="1" x14ac:dyDescent="0.3">
      <c r="C47" s="250"/>
      <c r="D47" s="243" t="s">
        <v>128</v>
      </c>
      <c r="E47" s="244">
        <f>ROUND(SUM(E45:E46),0)</f>
        <v>-438820</v>
      </c>
      <c r="F47" s="241"/>
      <c r="G47" s="245">
        <f>SUM(G45:G45)</f>
        <v>-2597.9961000000003</v>
      </c>
      <c r="H47" s="245">
        <f>SUM(H45:H45)</f>
        <v>-448580.82580000005</v>
      </c>
      <c r="I47" s="245">
        <f>SUM(I45:I45)</f>
        <v>2545.1091000000001</v>
      </c>
      <c r="J47" s="245">
        <f>SUM(J45:J45)</f>
        <v>9813.6121000000003</v>
      </c>
    </row>
    <row r="48" spans="3:10" ht="16.5" thickTop="1" x14ac:dyDescent="0.25">
      <c r="E48" s="233"/>
      <c r="H48" s="240"/>
    </row>
    <row r="49" spans="2:10" x14ac:dyDescent="0.25">
      <c r="E49" s="233"/>
      <c r="H49" s="240"/>
    </row>
    <row r="50" spans="2:10" x14ac:dyDescent="0.25">
      <c r="B50" s="221" t="s">
        <v>455</v>
      </c>
      <c r="H50" s="240">
        <f>+H43</f>
        <v>-1395641</v>
      </c>
    </row>
    <row r="51" spans="2:10" x14ac:dyDescent="0.25">
      <c r="B51" s="219" t="s">
        <v>456</v>
      </c>
      <c r="H51" s="219">
        <f>ROUND(H22*0.085,0)</f>
        <v>-76286</v>
      </c>
    </row>
    <row r="52" spans="2:10" x14ac:dyDescent="0.25">
      <c r="B52" s="219" t="s">
        <v>457</v>
      </c>
      <c r="H52" s="219">
        <f>ROUND((H50-H51)*0.34,0)</f>
        <v>-448581</v>
      </c>
    </row>
    <row r="53" spans="2:10" x14ac:dyDescent="0.25">
      <c r="H53" s="240"/>
    </row>
    <row r="55" spans="2:10" x14ac:dyDescent="0.25">
      <c r="B55" s="221" t="s">
        <v>458</v>
      </c>
      <c r="H55" s="220" t="s">
        <v>459</v>
      </c>
      <c r="I55" s="220" t="s">
        <v>460</v>
      </c>
      <c r="J55" s="220" t="s">
        <v>461</v>
      </c>
    </row>
    <row r="56" spans="2:10" x14ac:dyDescent="0.25">
      <c r="B56" s="221" t="s">
        <v>462</v>
      </c>
      <c r="H56" s="221">
        <v>0</v>
      </c>
    </row>
    <row r="57" spans="2:10" x14ac:dyDescent="0.25">
      <c r="B57" s="221" t="s">
        <v>463</v>
      </c>
      <c r="H57" s="221">
        <v>0</v>
      </c>
    </row>
    <row r="58" spans="2:10" x14ac:dyDescent="0.25">
      <c r="B58" s="221" t="s">
        <v>464</v>
      </c>
      <c r="H58" s="240">
        <f>ROUND(+G39,2)</f>
        <v>-5048</v>
      </c>
      <c r="I58" s="219">
        <f>ROUND(H58*0.085,0)</f>
        <v>-429</v>
      </c>
      <c r="J58" s="219">
        <f>ROUND((H58-I58)*0.34,0)</f>
        <v>-1570</v>
      </c>
    </row>
    <row r="59" spans="2:10" x14ac:dyDescent="0.25">
      <c r="B59" s="221" t="s">
        <v>465</v>
      </c>
      <c r="H59" s="233">
        <f>ROUND(+J40,2)</f>
        <v>2911</v>
      </c>
      <c r="I59" s="219">
        <f>ROUND(H59*0.085,0)</f>
        <v>247</v>
      </c>
      <c r="J59" s="219">
        <f>ROUND((H59-I59)*0.34,0)</f>
        <v>906</v>
      </c>
    </row>
    <row r="60" spans="2:10" x14ac:dyDescent="0.25">
      <c r="B60" s="221" t="s">
        <v>466</v>
      </c>
      <c r="H60" s="233">
        <f>ROUND(+J41,2)</f>
        <v>26200</v>
      </c>
      <c r="I60" s="219">
        <f>ROUND(H60*0.085,0)</f>
        <v>2227</v>
      </c>
      <c r="J60" s="219">
        <f>ROUND((H60-I60)*0.34,0)</f>
        <v>8151</v>
      </c>
    </row>
    <row r="62" spans="2:10" x14ac:dyDescent="0.25">
      <c r="H62" s="240">
        <f>SUM(H56:H61)</f>
        <v>24063</v>
      </c>
      <c r="I62" s="240">
        <f>SUM(I56:I61)</f>
        <v>2045</v>
      </c>
      <c r="J62" s="240">
        <f>SUM(J56:J61)</f>
        <v>7487</v>
      </c>
    </row>
  </sheetData>
  <mergeCells count="3">
    <mergeCell ref="B4:J4"/>
    <mergeCell ref="B9:J9"/>
    <mergeCell ref="B29:J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2"/>
  <sheetViews>
    <sheetView view="pageBreakPreview" topLeftCell="A19" zoomScale="60" zoomScaleNormal="100" workbookViewId="0">
      <selection activeCell="J60" sqref="J60"/>
    </sheetView>
  </sheetViews>
  <sheetFormatPr defaultColWidth="15.42578125" defaultRowHeight="15.75" x14ac:dyDescent="0.25"/>
  <cols>
    <col min="1" max="1" width="3.140625" style="221" customWidth="1"/>
    <col min="2" max="2" width="24.7109375" style="221" customWidth="1"/>
    <col min="3" max="3" width="24" style="221" customWidth="1"/>
    <col min="4" max="4" width="11.7109375" style="221" customWidth="1"/>
    <col min="5" max="5" width="16" style="221" bestFit="1" customWidth="1"/>
    <col min="6" max="6" width="9.28515625" style="221" customWidth="1"/>
    <col min="7" max="7" width="15.7109375" style="221" customWidth="1"/>
    <col min="8" max="8" width="16.42578125" style="221" bestFit="1" customWidth="1"/>
    <col min="9" max="10" width="15.7109375" style="221" customWidth="1"/>
    <col min="11" max="11" width="4.7109375" style="221" bestFit="1" customWidth="1"/>
    <col min="12" max="12" width="15.42578125" style="221"/>
    <col min="13" max="13" width="15.5703125" style="221" bestFit="1" customWidth="1"/>
    <col min="14" max="256" width="15.42578125" style="221"/>
    <col min="257" max="257" width="3.140625" style="221" customWidth="1"/>
    <col min="258" max="258" width="24.7109375" style="221" customWidth="1"/>
    <col min="259" max="259" width="24" style="221" customWidth="1"/>
    <col min="260" max="260" width="11.7109375" style="221" customWidth="1"/>
    <col min="261" max="261" width="16" style="221" bestFit="1" customWidth="1"/>
    <col min="262" max="262" width="9.28515625" style="221" customWidth="1"/>
    <col min="263" max="263" width="15.7109375" style="221" customWidth="1"/>
    <col min="264" max="264" width="16.42578125" style="221" bestFit="1" customWidth="1"/>
    <col min="265" max="266" width="15.7109375" style="221" customWidth="1"/>
    <col min="267" max="267" width="4.7109375" style="221" bestFit="1" customWidth="1"/>
    <col min="268" max="268" width="15.42578125" style="221"/>
    <col min="269" max="269" width="15.5703125" style="221" bestFit="1" customWidth="1"/>
    <col min="270" max="512" width="15.42578125" style="221"/>
    <col min="513" max="513" width="3.140625" style="221" customWidth="1"/>
    <col min="514" max="514" width="24.7109375" style="221" customWidth="1"/>
    <col min="515" max="515" width="24" style="221" customWidth="1"/>
    <col min="516" max="516" width="11.7109375" style="221" customWidth="1"/>
    <col min="517" max="517" width="16" style="221" bestFit="1" customWidth="1"/>
    <col min="518" max="518" width="9.28515625" style="221" customWidth="1"/>
    <col min="519" max="519" width="15.7109375" style="221" customWidth="1"/>
    <col min="520" max="520" width="16.42578125" style="221" bestFit="1" customWidth="1"/>
    <col min="521" max="522" width="15.7109375" style="221" customWidth="1"/>
    <col min="523" max="523" width="4.7109375" style="221" bestFit="1" customWidth="1"/>
    <col min="524" max="524" width="15.42578125" style="221"/>
    <col min="525" max="525" width="15.5703125" style="221" bestFit="1" customWidth="1"/>
    <col min="526" max="768" width="15.42578125" style="221"/>
    <col min="769" max="769" width="3.140625" style="221" customWidth="1"/>
    <col min="770" max="770" width="24.7109375" style="221" customWidth="1"/>
    <col min="771" max="771" width="24" style="221" customWidth="1"/>
    <col min="772" max="772" width="11.7109375" style="221" customWidth="1"/>
    <col min="773" max="773" width="16" style="221" bestFit="1" customWidth="1"/>
    <col min="774" max="774" width="9.28515625" style="221" customWidth="1"/>
    <col min="775" max="775" width="15.7109375" style="221" customWidth="1"/>
    <col min="776" max="776" width="16.42578125" style="221" bestFit="1" customWidth="1"/>
    <col min="777" max="778" width="15.7109375" style="221" customWidth="1"/>
    <col min="779" max="779" width="4.7109375" style="221" bestFit="1" customWidth="1"/>
    <col min="780" max="780" width="15.42578125" style="221"/>
    <col min="781" max="781" width="15.5703125" style="221" bestFit="1" customWidth="1"/>
    <col min="782" max="1024" width="15.42578125" style="221"/>
    <col min="1025" max="1025" width="3.140625" style="221" customWidth="1"/>
    <col min="1026" max="1026" width="24.7109375" style="221" customWidth="1"/>
    <col min="1027" max="1027" width="24" style="221" customWidth="1"/>
    <col min="1028" max="1028" width="11.7109375" style="221" customWidth="1"/>
    <col min="1029" max="1029" width="16" style="221" bestFit="1" customWidth="1"/>
    <col min="1030" max="1030" width="9.28515625" style="221" customWidth="1"/>
    <col min="1031" max="1031" width="15.7109375" style="221" customWidth="1"/>
    <col min="1032" max="1032" width="16.42578125" style="221" bestFit="1" customWidth="1"/>
    <col min="1033" max="1034" width="15.7109375" style="221" customWidth="1"/>
    <col min="1035" max="1035" width="4.7109375" style="221" bestFit="1" customWidth="1"/>
    <col min="1036" max="1036" width="15.42578125" style="221"/>
    <col min="1037" max="1037" width="15.5703125" style="221" bestFit="1" customWidth="1"/>
    <col min="1038" max="1280" width="15.42578125" style="221"/>
    <col min="1281" max="1281" width="3.140625" style="221" customWidth="1"/>
    <col min="1282" max="1282" width="24.7109375" style="221" customWidth="1"/>
    <col min="1283" max="1283" width="24" style="221" customWidth="1"/>
    <col min="1284" max="1284" width="11.7109375" style="221" customWidth="1"/>
    <col min="1285" max="1285" width="16" style="221" bestFit="1" customWidth="1"/>
    <col min="1286" max="1286" width="9.28515625" style="221" customWidth="1"/>
    <col min="1287" max="1287" width="15.7109375" style="221" customWidth="1"/>
    <col min="1288" max="1288" width="16.42578125" style="221" bestFit="1" customWidth="1"/>
    <col min="1289" max="1290" width="15.7109375" style="221" customWidth="1"/>
    <col min="1291" max="1291" width="4.7109375" style="221" bestFit="1" customWidth="1"/>
    <col min="1292" max="1292" width="15.42578125" style="221"/>
    <col min="1293" max="1293" width="15.5703125" style="221" bestFit="1" customWidth="1"/>
    <col min="1294" max="1536" width="15.42578125" style="221"/>
    <col min="1537" max="1537" width="3.140625" style="221" customWidth="1"/>
    <col min="1538" max="1538" width="24.7109375" style="221" customWidth="1"/>
    <col min="1539" max="1539" width="24" style="221" customWidth="1"/>
    <col min="1540" max="1540" width="11.7109375" style="221" customWidth="1"/>
    <col min="1541" max="1541" width="16" style="221" bestFit="1" customWidth="1"/>
    <col min="1542" max="1542" width="9.28515625" style="221" customWidth="1"/>
    <col min="1543" max="1543" width="15.7109375" style="221" customWidth="1"/>
    <col min="1544" max="1544" width="16.42578125" style="221" bestFit="1" customWidth="1"/>
    <col min="1545" max="1546" width="15.7109375" style="221" customWidth="1"/>
    <col min="1547" max="1547" width="4.7109375" style="221" bestFit="1" customWidth="1"/>
    <col min="1548" max="1548" width="15.42578125" style="221"/>
    <col min="1549" max="1549" width="15.5703125" style="221" bestFit="1" customWidth="1"/>
    <col min="1550" max="1792" width="15.42578125" style="221"/>
    <col min="1793" max="1793" width="3.140625" style="221" customWidth="1"/>
    <col min="1794" max="1794" width="24.7109375" style="221" customWidth="1"/>
    <col min="1795" max="1795" width="24" style="221" customWidth="1"/>
    <col min="1796" max="1796" width="11.7109375" style="221" customWidth="1"/>
    <col min="1797" max="1797" width="16" style="221" bestFit="1" customWidth="1"/>
    <col min="1798" max="1798" width="9.28515625" style="221" customWidth="1"/>
    <col min="1799" max="1799" width="15.7109375" style="221" customWidth="1"/>
    <col min="1800" max="1800" width="16.42578125" style="221" bestFit="1" customWidth="1"/>
    <col min="1801" max="1802" width="15.7109375" style="221" customWidth="1"/>
    <col min="1803" max="1803" width="4.7109375" style="221" bestFit="1" customWidth="1"/>
    <col min="1804" max="1804" width="15.42578125" style="221"/>
    <col min="1805" max="1805" width="15.5703125" style="221" bestFit="1" customWidth="1"/>
    <col min="1806" max="2048" width="15.42578125" style="221"/>
    <col min="2049" max="2049" width="3.140625" style="221" customWidth="1"/>
    <col min="2050" max="2050" width="24.7109375" style="221" customWidth="1"/>
    <col min="2051" max="2051" width="24" style="221" customWidth="1"/>
    <col min="2052" max="2052" width="11.7109375" style="221" customWidth="1"/>
    <col min="2053" max="2053" width="16" style="221" bestFit="1" customWidth="1"/>
    <col min="2054" max="2054" width="9.28515625" style="221" customWidth="1"/>
    <col min="2055" max="2055" width="15.7109375" style="221" customWidth="1"/>
    <col min="2056" max="2056" width="16.42578125" style="221" bestFit="1" customWidth="1"/>
    <col min="2057" max="2058" width="15.7109375" style="221" customWidth="1"/>
    <col min="2059" max="2059" width="4.7109375" style="221" bestFit="1" customWidth="1"/>
    <col min="2060" max="2060" width="15.42578125" style="221"/>
    <col min="2061" max="2061" width="15.5703125" style="221" bestFit="1" customWidth="1"/>
    <col min="2062" max="2304" width="15.42578125" style="221"/>
    <col min="2305" max="2305" width="3.140625" style="221" customWidth="1"/>
    <col min="2306" max="2306" width="24.7109375" style="221" customWidth="1"/>
    <col min="2307" max="2307" width="24" style="221" customWidth="1"/>
    <col min="2308" max="2308" width="11.7109375" style="221" customWidth="1"/>
    <col min="2309" max="2309" width="16" style="221" bestFit="1" customWidth="1"/>
    <col min="2310" max="2310" width="9.28515625" style="221" customWidth="1"/>
    <col min="2311" max="2311" width="15.7109375" style="221" customWidth="1"/>
    <col min="2312" max="2312" width="16.42578125" style="221" bestFit="1" customWidth="1"/>
    <col min="2313" max="2314" width="15.7109375" style="221" customWidth="1"/>
    <col min="2315" max="2315" width="4.7109375" style="221" bestFit="1" customWidth="1"/>
    <col min="2316" max="2316" width="15.42578125" style="221"/>
    <col min="2317" max="2317" width="15.5703125" style="221" bestFit="1" customWidth="1"/>
    <col min="2318" max="2560" width="15.42578125" style="221"/>
    <col min="2561" max="2561" width="3.140625" style="221" customWidth="1"/>
    <col min="2562" max="2562" width="24.7109375" style="221" customWidth="1"/>
    <col min="2563" max="2563" width="24" style="221" customWidth="1"/>
    <col min="2564" max="2564" width="11.7109375" style="221" customWidth="1"/>
    <col min="2565" max="2565" width="16" style="221" bestFit="1" customWidth="1"/>
    <col min="2566" max="2566" width="9.28515625" style="221" customWidth="1"/>
    <col min="2567" max="2567" width="15.7109375" style="221" customWidth="1"/>
    <col min="2568" max="2568" width="16.42578125" style="221" bestFit="1" customWidth="1"/>
    <col min="2569" max="2570" width="15.7109375" style="221" customWidth="1"/>
    <col min="2571" max="2571" width="4.7109375" style="221" bestFit="1" customWidth="1"/>
    <col min="2572" max="2572" width="15.42578125" style="221"/>
    <col min="2573" max="2573" width="15.5703125" style="221" bestFit="1" customWidth="1"/>
    <col min="2574" max="2816" width="15.42578125" style="221"/>
    <col min="2817" max="2817" width="3.140625" style="221" customWidth="1"/>
    <col min="2818" max="2818" width="24.7109375" style="221" customWidth="1"/>
    <col min="2819" max="2819" width="24" style="221" customWidth="1"/>
    <col min="2820" max="2820" width="11.7109375" style="221" customWidth="1"/>
    <col min="2821" max="2821" width="16" style="221" bestFit="1" customWidth="1"/>
    <col min="2822" max="2822" width="9.28515625" style="221" customWidth="1"/>
    <col min="2823" max="2823" width="15.7109375" style="221" customWidth="1"/>
    <col min="2824" max="2824" width="16.42578125" style="221" bestFit="1" customWidth="1"/>
    <col min="2825" max="2826" width="15.7109375" style="221" customWidth="1"/>
    <col min="2827" max="2827" width="4.7109375" style="221" bestFit="1" customWidth="1"/>
    <col min="2828" max="2828" width="15.42578125" style="221"/>
    <col min="2829" max="2829" width="15.5703125" style="221" bestFit="1" customWidth="1"/>
    <col min="2830" max="3072" width="15.42578125" style="221"/>
    <col min="3073" max="3073" width="3.140625" style="221" customWidth="1"/>
    <col min="3074" max="3074" width="24.7109375" style="221" customWidth="1"/>
    <col min="3075" max="3075" width="24" style="221" customWidth="1"/>
    <col min="3076" max="3076" width="11.7109375" style="221" customWidth="1"/>
    <col min="3077" max="3077" width="16" style="221" bestFit="1" customWidth="1"/>
    <col min="3078" max="3078" width="9.28515625" style="221" customWidth="1"/>
    <col min="3079" max="3079" width="15.7109375" style="221" customWidth="1"/>
    <col min="3080" max="3080" width="16.42578125" style="221" bestFit="1" customWidth="1"/>
    <col min="3081" max="3082" width="15.7109375" style="221" customWidth="1"/>
    <col min="3083" max="3083" width="4.7109375" style="221" bestFit="1" customWidth="1"/>
    <col min="3084" max="3084" width="15.42578125" style="221"/>
    <col min="3085" max="3085" width="15.5703125" style="221" bestFit="1" customWidth="1"/>
    <col min="3086" max="3328" width="15.42578125" style="221"/>
    <col min="3329" max="3329" width="3.140625" style="221" customWidth="1"/>
    <col min="3330" max="3330" width="24.7109375" style="221" customWidth="1"/>
    <col min="3331" max="3331" width="24" style="221" customWidth="1"/>
    <col min="3332" max="3332" width="11.7109375" style="221" customWidth="1"/>
    <col min="3333" max="3333" width="16" style="221" bestFit="1" customWidth="1"/>
    <col min="3334" max="3334" width="9.28515625" style="221" customWidth="1"/>
    <col min="3335" max="3335" width="15.7109375" style="221" customWidth="1"/>
    <col min="3336" max="3336" width="16.42578125" style="221" bestFit="1" customWidth="1"/>
    <col min="3337" max="3338" width="15.7109375" style="221" customWidth="1"/>
    <col min="3339" max="3339" width="4.7109375" style="221" bestFit="1" customWidth="1"/>
    <col min="3340" max="3340" width="15.42578125" style="221"/>
    <col min="3341" max="3341" width="15.5703125" style="221" bestFit="1" customWidth="1"/>
    <col min="3342" max="3584" width="15.42578125" style="221"/>
    <col min="3585" max="3585" width="3.140625" style="221" customWidth="1"/>
    <col min="3586" max="3586" width="24.7109375" style="221" customWidth="1"/>
    <col min="3587" max="3587" width="24" style="221" customWidth="1"/>
    <col min="3588" max="3588" width="11.7109375" style="221" customWidth="1"/>
    <col min="3589" max="3589" width="16" style="221" bestFit="1" customWidth="1"/>
    <col min="3590" max="3590" width="9.28515625" style="221" customWidth="1"/>
    <col min="3591" max="3591" width="15.7109375" style="221" customWidth="1"/>
    <col min="3592" max="3592" width="16.42578125" style="221" bestFit="1" customWidth="1"/>
    <col min="3593" max="3594" width="15.7109375" style="221" customWidth="1"/>
    <col min="3595" max="3595" width="4.7109375" style="221" bestFit="1" customWidth="1"/>
    <col min="3596" max="3596" width="15.42578125" style="221"/>
    <col min="3597" max="3597" width="15.5703125" style="221" bestFit="1" customWidth="1"/>
    <col min="3598" max="3840" width="15.42578125" style="221"/>
    <col min="3841" max="3841" width="3.140625" style="221" customWidth="1"/>
    <col min="3842" max="3842" width="24.7109375" style="221" customWidth="1"/>
    <col min="3843" max="3843" width="24" style="221" customWidth="1"/>
    <col min="3844" max="3844" width="11.7109375" style="221" customWidth="1"/>
    <col min="3845" max="3845" width="16" style="221" bestFit="1" customWidth="1"/>
    <col min="3846" max="3846" width="9.28515625" style="221" customWidth="1"/>
    <col min="3847" max="3847" width="15.7109375" style="221" customWidth="1"/>
    <col min="3848" max="3848" width="16.42578125" style="221" bestFit="1" customWidth="1"/>
    <col min="3849" max="3850" width="15.7109375" style="221" customWidth="1"/>
    <col min="3851" max="3851" width="4.7109375" style="221" bestFit="1" customWidth="1"/>
    <col min="3852" max="3852" width="15.42578125" style="221"/>
    <col min="3853" max="3853" width="15.5703125" style="221" bestFit="1" customWidth="1"/>
    <col min="3854" max="4096" width="15.42578125" style="221"/>
    <col min="4097" max="4097" width="3.140625" style="221" customWidth="1"/>
    <col min="4098" max="4098" width="24.7109375" style="221" customWidth="1"/>
    <col min="4099" max="4099" width="24" style="221" customWidth="1"/>
    <col min="4100" max="4100" width="11.7109375" style="221" customWidth="1"/>
    <col min="4101" max="4101" width="16" style="221" bestFit="1" customWidth="1"/>
    <col min="4102" max="4102" width="9.28515625" style="221" customWidth="1"/>
    <col min="4103" max="4103" width="15.7109375" style="221" customWidth="1"/>
    <col min="4104" max="4104" width="16.42578125" style="221" bestFit="1" customWidth="1"/>
    <col min="4105" max="4106" width="15.7109375" style="221" customWidth="1"/>
    <col min="4107" max="4107" width="4.7109375" style="221" bestFit="1" customWidth="1"/>
    <col min="4108" max="4108" width="15.42578125" style="221"/>
    <col min="4109" max="4109" width="15.5703125" style="221" bestFit="1" customWidth="1"/>
    <col min="4110" max="4352" width="15.42578125" style="221"/>
    <col min="4353" max="4353" width="3.140625" style="221" customWidth="1"/>
    <col min="4354" max="4354" width="24.7109375" style="221" customWidth="1"/>
    <col min="4355" max="4355" width="24" style="221" customWidth="1"/>
    <col min="4356" max="4356" width="11.7109375" style="221" customWidth="1"/>
    <col min="4357" max="4357" width="16" style="221" bestFit="1" customWidth="1"/>
    <col min="4358" max="4358" width="9.28515625" style="221" customWidth="1"/>
    <col min="4359" max="4359" width="15.7109375" style="221" customWidth="1"/>
    <col min="4360" max="4360" width="16.42578125" style="221" bestFit="1" customWidth="1"/>
    <col min="4361" max="4362" width="15.7109375" style="221" customWidth="1"/>
    <col min="4363" max="4363" width="4.7109375" style="221" bestFit="1" customWidth="1"/>
    <col min="4364" max="4364" width="15.42578125" style="221"/>
    <col min="4365" max="4365" width="15.5703125" style="221" bestFit="1" customWidth="1"/>
    <col min="4366" max="4608" width="15.42578125" style="221"/>
    <col min="4609" max="4609" width="3.140625" style="221" customWidth="1"/>
    <col min="4610" max="4610" width="24.7109375" style="221" customWidth="1"/>
    <col min="4611" max="4611" width="24" style="221" customWidth="1"/>
    <col min="4612" max="4612" width="11.7109375" style="221" customWidth="1"/>
    <col min="4613" max="4613" width="16" style="221" bestFit="1" customWidth="1"/>
    <col min="4614" max="4614" width="9.28515625" style="221" customWidth="1"/>
    <col min="4615" max="4615" width="15.7109375" style="221" customWidth="1"/>
    <col min="4616" max="4616" width="16.42578125" style="221" bestFit="1" customWidth="1"/>
    <col min="4617" max="4618" width="15.7109375" style="221" customWidth="1"/>
    <col min="4619" max="4619" width="4.7109375" style="221" bestFit="1" customWidth="1"/>
    <col min="4620" max="4620" width="15.42578125" style="221"/>
    <col min="4621" max="4621" width="15.5703125" style="221" bestFit="1" customWidth="1"/>
    <col min="4622" max="4864" width="15.42578125" style="221"/>
    <col min="4865" max="4865" width="3.140625" style="221" customWidth="1"/>
    <col min="4866" max="4866" width="24.7109375" style="221" customWidth="1"/>
    <col min="4867" max="4867" width="24" style="221" customWidth="1"/>
    <col min="4868" max="4868" width="11.7109375" style="221" customWidth="1"/>
    <col min="4869" max="4869" width="16" style="221" bestFit="1" customWidth="1"/>
    <col min="4870" max="4870" width="9.28515625" style="221" customWidth="1"/>
    <col min="4871" max="4871" width="15.7109375" style="221" customWidth="1"/>
    <col min="4872" max="4872" width="16.42578125" style="221" bestFit="1" customWidth="1"/>
    <col min="4873" max="4874" width="15.7109375" style="221" customWidth="1"/>
    <col min="4875" max="4875" width="4.7109375" style="221" bestFit="1" customWidth="1"/>
    <col min="4876" max="4876" width="15.42578125" style="221"/>
    <col min="4877" max="4877" width="15.5703125" style="221" bestFit="1" customWidth="1"/>
    <col min="4878" max="5120" width="15.42578125" style="221"/>
    <col min="5121" max="5121" width="3.140625" style="221" customWidth="1"/>
    <col min="5122" max="5122" width="24.7109375" style="221" customWidth="1"/>
    <col min="5123" max="5123" width="24" style="221" customWidth="1"/>
    <col min="5124" max="5124" width="11.7109375" style="221" customWidth="1"/>
    <col min="5125" max="5125" width="16" style="221" bestFit="1" customWidth="1"/>
    <col min="5126" max="5126" width="9.28515625" style="221" customWidth="1"/>
    <col min="5127" max="5127" width="15.7109375" style="221" customWidth="1"/>
    <col min="5128" max="5128" width="16.42578125" style="221" bestFit="1" customWidth="1"/>
    <col min="5129" max="5130" width="15.7109375" style="221" customWidth="1"/>
    <col min="5131" max="5131" width="4.7109375" style="221" bestFit="1" customWidth="1"/>
    <col min="5132" max="5132" width="15.42578125" style="221"/>
    <col min="5133" max="5133" width="15.5703125" style="221" bestFit="1" customWidth="1"/>
    <col min="5134" max="5376" width="15.42578125" style="221"/>
    <col min="5377" max="5377" width="3.140625" style="221" customWidth="1"/>
    <col min="5378" max="5378" width="24.7109375" style="221" customWidth="1"/>
    <col min="5379" max="5379" width="24" style="221" customWidth="1"/>
    <col min="5380" max="5380" width="11.7109375" style="221" customWidth="1"/>
    <col min="5381" max="5381" width="16" style="221" bestFit="1" customWidth="1"/>
    <col min="5382" max="5382" width="9.28515625" style="221" customWidth="1"/>
    <col min="5383" max="5383" width="15.7109375" style="221" customWidth="1"/>
    <col min="5384" max="5384" width="16.42578125" style="221" bestFit="1" customWidth="1"/>
    <col min="5385" max="5386" width="15.7109375" style="221" customWidth="1"/>
    <col min="5387" max="5387" width="4.7109375" style="221" bestFit="1" customWidth="1"/>
    <col min="5388" max="5388" width="15.42578125" style="221"/>
    <col min="5389" max="5389" width="15.5703125" style="221" bestFit="1" customWidth="1"/>
    <col min="5390" max="5632" width="15.42578125" style="221"/>
    <col min="5633" max="5633" width="3.140625" style="221" customWidth="1"/>
    <col min="5634" max="5634" width="24.7109375" style="221" customWidth="1"/>
    <col min="5635" max="5635" width="24" style="221" customWidth="1"/>
    <col min="5636" max="5636" width="11.7109375" style="221" customWidth="1"/>
    <col min="5637" max="5637" width="16" style="221" bestFit="1" customWidth="1"/>
    <col min="5638" max="5638" width="9.28515625" style="221" customWidth="1"/>
    <col min="5639" max="5639" width="15.7109375" style="221" customWidth="1"/>
    <col min="5640" max="5640" width="16.42578125" style="221" bestFit="1" customWidth="1"/>
    <col min="5641" max="5642" width="15.7109375" style="221" customWidth="1"/>
    <col min="5643" max="5643" width="4.7109375" style="221" bestFit="1" customWidth="1"/>
    <col min="5644" max="5644" width="15.42578125" style="221"/>
    <col min="5645" max="5645" width="15.5703125" style="221" bestFit="1" customWidth="1"/>
    <col min="5646" max="5888" width="15.42578125" style="221"/>
    <col min="5889" max="5889" width="3.140625" style="221" customWidth="1"/>
    <col min="5890" max="5890" width="24.7109375" style="221" customWidth="1"/>
    <col min="5891" max="5891" width="24" style="221" customWidth="1"/>
    <col min="5892" max="5892" width="11.7109375" style="221" customWidth="1"/>
    <col min="5893" max="5893" width="16" style="221" bestFit="1" customWidth="1"/>
    <col min="5894" max="5894" width="9.28515625" style="221" customWidth="1"/>
    <col min="5895" max="5895" width="15.7109375" style="221" customWidth="1"/>
    <col min="5896" max="5896" width="16.42578125" style="221" bestFit="1" customWidth="1"/>
    <col min="5897" max="5898" width="15.7109375" style="221" customWidth="1"/>
    <col min="5899" max="5899" width="4.7109375" style="221" bestFit="1" customWidth="1"/>
    <col min="5900" max="5900" width="15.42578125" style="221"/>
    <col min="5901" max="5901" width="15.5703125" style="221" bestFit="1" customWidth="1"/>
    <col min="5902" max="6144" width="15.42578125" style="221"/>
    <col min="6145" max="6145" width="3.140625" style="221" customWidth="1"/>
    <col min="6146" max="6146" width="24.7109375" style="221" customWidth="1"/>
    <col min="6147" max="6147" width="24" style="221" customWidth="1"/>
    <col min="6148" max="6148" width="11.7109375" style="221" customWidth="1"/>
    <col min="6149" max="6149" width="16" style="221" bestFit="1" customWidth="1"/>
    <col min="6150" max="6150" width="9.28515625" style="221" customWidth="1"/>
    <col min="6151" max="6151" width="15.7109375" style="221" customWidth="1"/>
    <col min="6152" max="6152" width="16.42578125" style="221" bestFit="1" customWidth="1"/>
    <col min="6153" max="6154" width="15.7109375" style="221" customWidth="1"/>
    <col min="6155" max="6155" width="4.7109375" style="221" bestFit="1" customWidth="1"/>
    <col min="6156" max="6156" width="15.42578125" style="221"/>
    <col min="6157" max="6157" width="15.5703125" style="221" bestFit="1" customWidth="1"/>
    <col min="6158" max="6400" width="15.42578125" style="221"/>
    <col min="6401" max="6401" width="3.140625" style="221" customWidth="1"/>
    <col min="6402" max="6402" width="24.7109375" style="221" customWidth="1"/>
    <col min="6403" max="6403" width="24" style="221" customWidth="1"/>
    <col min="6404" max="6404" width="11.7109375" style="221" customWidth="1"/>
    <col min="6405" max="6405" width="16" style="221" bestFit="1" customWidth="1"/>
    <col min="6406" max="6406" width="9.28515625" style="221" customWidth="1"/>
    <col min="6407" max="6407" width="15.7109375" style="221" customWidth="1"/>
    <col min="6408" max="6408" width="16.42578125" style="221" bestFit="1" customWidth="1"/>
    <col min="6409" max="6410" width="15.7109375" style="221" customWidth="1"/>
    <col min="6411" max="6411" width="4.7109375" style="221" bestFit="1" customWidth="1"/>
    <col min="6412" max="6412" width="15.42578125" style="221"/>
    <col min="6413" max="6413" width="15.5703125" style="221" bestFit="1" customWidth="1"/>
    <col min="6414" max="6656" width="15.42578125" style="221"/>
    <col min="6657" max="6657" width="3.140625" style="221" customWidth="1"/>
    <col min="6658" max="6658" width="24.7109375" style="221" customWidth="1"/>
    <col min="6659" max="6659" width="24" style="221" customWidth="1"/>
    <col min="6660" max="6660" width="11.7109375" style="221" customWidth="1"/>
    <col min="6661" max="6661" width="16" style="221" bestFit="1" customWidth="1"/>
    <col min="6662" max="6662" width="9.28515625" style="221" customWidth="1"/>
    <col min="6663" max="6663" width="15.7109375" style="221" customWidth="1"/>
    <col min="6664" max="6664" width="16.42578125" style="221" bestFit="1" customWidth="1"/>
    <col min="6665" max="6666" width="15.7109375" style="221" customWidth="1"/>
    <col min="6667" max="6667" width="4.7109375" style="221" bestFit="1" customWidth="1"/>
    <col min="6668" max="6668" width="15.42578125" style="221"/>
    <col min="6669" max="6669" width="15.5703125" style="221" bestFit="1" customWidth="1"/>
    <col min="6670" max="6912" width="15.42578125" style="221"/>
    <col min="6913" max="6913" width="3.140625" style="221" customWidth="1"/>
    <col min="6914" max="6914" width="24.7109375" style="221" customWidth="1"/>
    <col min="6915" max="6915" width="24" style="221" customWidth="1"/>
    <col min="6916" max="6916" width="11.7109375" style="221" customWidth="1"/>
    <col min="6917" max="6917" width="16" style="221" bestFit="1" customWidth="1"/>
    <col min="6918" max="6918" width="9.28515625" style="221" customWidth="1"/>
    <col min="6919" max="6919" width="15.7109375" style="221" customWidth="1"/>
    <col min="6920" max="6920" width="16.42578125" style="221" bestFit="1" customWidth="1"/>
    <col min="6921" max="6922" width="15.7109375" style="221" customWidth="1"/>
    <col min="6923" max="6923" width="4.7109375" style="221" bestFit="1" customWidth="1"/>
    <col min="6924" max="6924" width="15.42578125" style="221"/>
    <col min="6925" max="6925" width="15.5703125" style="221" bestFit="1" customWidth="1"/>
    <col min="6926" max="7168" width="15.42578125" style="221"/>
    <col min="7169" max="7169" width="3.140625" style="221" customWidth="1"/>
    <col min="7170" max="7170" width="24.7109375" style="221" customWidth="1"/>
    <col min="7171" max="7171" width="24" style="221" customWidth="1"/>
    <col min="7172" max="7172" width="11.7109375" style="221" customWidth="1"/>
    <col min="7173" max="7173" width="16" style="221" bestFit="1" customWidth="1"/>
    <col min="7174" max="7174" width="9.28515625" style="221" customWidth="1"/>
    <col min="7175" max="7175" width="15.7109375" style="221" customWidth="1"/>
    <col min="7176" max="7176" width="16.42578125" style="221" bestFit="1" customWidth="1"/>
    <col min="7177" max="7178" width="15.7109375" style="221" customWidth="1"/>
    <col min="7179" max="7179" width="4.7109375" style="221" bestFit="1" customWidth="1"/>
    <col min="7180" max="7180" width="15.42578125" style="221"/>
    <col min="7181" max="7181" width="15.5703125" style="221" bestFit="1" customWidth="1"/>
    <col min="7182" max="7424" width="15.42578125" style="221"/>
    <col min="7425" max="7425" width="3.140625" style="221" customWidth="1"/>
    <col min="7426" max="7426" width="24.7109375" style="221" customWidth="1"/>
    <col min="7427" max="7427" width="24" style="221" customWidth="1"/>
    <col min="7428" max="7428" width="11.7109375" style="221" customWidth="1"/>
    <col min="7429" max="7429" width="16" style="221" bestFit="1" customWidth="1"/>
    <col min="7430" max="7430" width="9.28515625" style="221" customWidth="1"/>
    <col min="7431" max="7431" width="15.7109375" style="221" customWidth="1"/>
    <col min="7432" max="7432" width="16.42578125" style="221" bestFit="1" customWidth="1"/>
    <col min="7433" max="7434" width="15.7109375" style="221" customWidth="1"/>
    <col min="7435" max="7435" width="4.7109375" style="221" bestFit="1" customWidth="1"/>
    <col min="7436" max="7436" width="15.42578125" style="221"/>
    <col min="7437" max="7437" width="15.5703125" style="221" bestFit="1" customWidth="1"/>
    <col min="7438" max="7680" width="15.42578125" style="221"/>
    <col min="7681" max="7681" width="3.140625" style="221" customWidth="1"/>
    <col min="7682" max="7682" width="24.7109375" style="221" customWidth="1"/>
    <col min="7683" max="7683" width="24" style="221" customWidth="1"/>
    <col min="7684" max="7684" width="11.7109375" style="221" customWidth="1"/>
    <col min="7685" max="7685" width="16" style="221" bestFit="1" customWidth="1"/>
    <col min="7686" max="7686" width="9.28515625" style="221" customWidth="1"/>
    <col min="7687" max="7687" width="15.7109375" style="221" customWidth="1"/>
    <col min="7688" max="7688" width="16.42578125" style="221" bestFit="1" customWidth="1"/>
    <col min="7689" max="7690" width="15.7109375" style="221" customWidth="1"/>
    <col min="7691" max="7691" width="4.7109375" style="221" bestFit="1" customWidth="1"/>
    <col min="7692" max="7692" width="15.42578125" style="221"/>
    <col min="7693" max="7693" width="15.5703125" style="221" bestFit="1" customWidth="1"/>
    <col min="7694" max="7936" width="15.42578125" style="221"/>
    <col min="7937" max="7937" width="3.140625" style="221" customWidth="1"/>
    <col min="7938" max="7938" width="24.7109375" style="221" customWidth="1"/>
    <col min="7939" max="7939" width="24" style="221" customWidth="1"/>
    <col min="7940" max="7940" width="11.7109375" style="221" customWidth="1"/>
    <col min="7941" max="7941" width="16" style="221" bestFit="1" customWidth="1"/>
    <col min="7942" max="7942" width="9.28515625" style="221" customWidth="1"/>
    <col min="7943" max="7943" width="15.7109375" style="221" customWidth="1"/>
    <col min="7944" max="7944" width="16.42578125" style="221" bestFit="1" customWidth="1"/>
    <col min="7945" max="7946" width="15.7109375" style="221" customWidth="1"/>
    <col min="7947" max="7947" width="4.7109375" style="221" bestFit="1" customWidth="1"/>
    <col min="7948" max="7948" width="15.42578125" style="221"/>
    <col min="7949" max="7949" width="15.5703125" style="221" bestFit="1" customWidth="1"/>
    <col min="7950" max="8192" width="15.42578125" style="221"/>
    <col min="8193" max="8193" width="3.140625" style="221" customWidth="1"/>
    <col min="8194" max="8194" width="24.7109375" style="221" customWidth="1"/>
    <col min="8195" max="8195" width="24" style="221" customWidth="1"/>
    <col min="8196" max="8196" width="11.7109375" style="221" customWidth="1"/>
    <col min="8197" max="8197" width="16" style="221" bestFit="1" customWidth="1"/>
    <col min="8198" max="8198" width="9.28515625" style="221" customWidth="1"/>
    <col min="8199" max="8199" width="15.7109375" style="221" customWidth="1"/>
    <col min="8200" max="8200" width="16.42578125" style="221" bestFit="1" customWidth="1"/>
    <col min="8201" max="8202" width="15.7109375" style="221" customWidth="1"/>
    <col min="8203" max="8203" width="4.7109375" style="221" bestFit="1" customWidth="1"/>
    <col min="8204" max="8204" width="15.42578125" style="221"/>
    <col min="8205" max="8205" width="15.5703125" style="221" bestFit="1" customWidth="1"/>
    <col min="8206" max="8448" width="15.42578125" style="221"/>
    <col min="8449" max="8449" width="3.140625" style="221" customWidth="1"/>
    <col min="8450" max="8450" width="24.7109375" style="221" customWidth="1"/>
    <col min="8451" max="8451" width="24" style="221" customWidth="1"/>
    <col min="8452" max="8452" width="11.7109375" style="221" customWidth="1"/>
    <col min="8453" max="8453" width="16" style="221" bestFit="1" customWidth="1"/>
    <col min="8454" max="8454" width="9.28515625" style="221" customWidth="1"/>
    <col min="8455" max="8455" width="15.7109375" style="221" customWidth="1"/>
    <col min="8456" max="8456" width="16.42578125" style="221" bestFit="1" customWidth="1"/>
    <col min="8457" max="8458" width="15.7109375" style="221" customWidth="1"/>
    <col min="8459" max="8459" width="4.7109375" style="221" bestFit="1" customWidth="1"/>
    <col min="8460" max="8460" width="15.42578125" style="221"/>
    <col min="8461" max="8461" width="15.5703125" style="221" bestFit="1" customWidth="1"/>
    <col min="8462" max="8704" width="15.42578125" style="221"/>
    <col min="8705" max="8705" width="3.140625" style="221" customWidth="1"/>
    <col min="8706" max="8706" width="24.7109375" style="221" customWidth="1"/>
    <col min="8707" max="8707" width="24" style="221" customWidth="1"/>
    <col min="8708" max="8708" width="11.7109375" style="221" customWidth="1"/>
    <col min="8709" max="8709" width="16" style="221" bestFit="1" customWidth="1"/>
    <col min="8710" max="8710" width="9.28515625" style="221" customWidth="1"/>
    <col min="8711" max="8711" width="15.7109375" style="221" customWidth="1"/>
    <col min="8712" max="8712" width="16.42578125" style="221" bestFit="1" customWidth="1"/>
    <col min="8713" max="8714" width="15.7109375" style="221" customWidth="1"/>
    <col min="8715" max="8715" width="4.7109375" style="221" bestFit="1" customWidth="1"/>
    <col min="8716" max="8716" width="15.42578125" style="221"/>
    <col min="8717" max="8717" width="15.5703125" style="221" bestFit="1" customWidth="1"/>
    <col min="8718" max="8960" width="15.42578125" style="221"/>
    <col min="8961" max="8961" width="3.140625" style="221" customWidth="1"/>
    <col min="8962" max="8962" width="24.7109375" style="221" customWidth="1"/>
    <col min="8963" max="8963" width="24" style="221" customWidth="1"/>
    <col min="8964" max="8964" width="11.7109375" style="221" customWidth="1"/>
    <col min="8965" max="8965" width="16" style="221" bestFit="1" customWidth="1"/>
    <col min="8966" max="8966" width="9.28515625" style="221" customWidth="1"/>
    <col min="8967" max="8967" width="15.7109375" style="221" customWidth="1"/>
    <col min="8968" max="8968" width="16.42578125" style="221" bestFit="1" customWidth="1"/>
    <col min="8969" max="8970" width="15.7109375" style="221" customWidth="1"/>
    <col min="8971" max="8971" width="4.7109375" style="221" bestFit="1" customWidth="1"/>
    <col min="8972" max="8972" width="15.42578125" style="221"/>
    <col min="8973" max="8973" width="15.5703125" style="221" bestFit="1" customWidth="1"/>
    <col min="8974" max="9216" width="15.42578125" style="221"/>
    <col min="9217" max="9217" width="3.140625" style="221" customWidth="1"/>
    <col min="9218" max="9218" width="24.7109375" style="221" customWidth="1"/>
    <col min="9219" max="9219" width="24" style="221" customWidth="1"/>
    <col min="9220" max="9220" width="11.7109375" style="221" customWidth="1"/>
    <col min="9221" max="9221" width="16" style="221" bestFit="1" customWidth="1"/>
    <col min="9222" max="9222" width="9.28515625" style="221" customWidth="1"/>
    <col min="9223" max="9223" width="15.7109375" style="221" customWidth="1"/>
    <col min="9224" max="9224" width="16.42578125" style="221" bestFit="1" customWidth="1"/>
    <col min="9225" max="9226" width="15.7109375" style="221" customWidth="1"/>
    <col min="9227" max="9227" width="4.7109375" style="221" bestFit="1" customWidth="1"/>
    <col min="9228" max="9228" width="15.42578125" style="221"/>
    <col min="9229" max="9229" width="15.5703125" style="221" bestFit="1" customWidth="1"/>
    <col min="9230" max="9472" width="15.42578125" style="221"/>
    <col min="9473" max="9473" width="3.140625" style="221" customWidth="1"/>
    <col min="9474" max="9474" width="24.7109375" style="221" customWidth="1"/>
    <col min="9475" max="9475" width="24" style="221" customWidth="1"/>
    <col min="9476" max="9476" width="11.7109375" style="221" customWidth="1"/>
    <col min="9477" max="9477" width="16" style="221" bestFit="1" customWidth="1"/>
    <col min="9478" max="9478" width="9.28515625" style="221" customWidth="1"/>
    <col min="9479" max="9479" width="15.7109375" style="221" customWidth="1"/>
    <col min="9480" max="9480" width="16.42578125" style="221" bestFit="1" customWidth="1"/>
    <col min="9481" max="9482" width="15.7109375" style="221" customWidth="1"/>
    <col min="9483" max="9483" width="4.7109375" style="221" bestFit="1" customWidth="1"/>
    <col min="9484" max="9484" width="15.42578125" style="221"/>
    <col min="9485" max="9485" width="15.5703125" style="221" bestFit="1" customWidth="1"/>
    <col min="9486" max="9728" width="15.42578125" style="221"/>
    <col min="9729" max="9729" width="3.140625" style="221" customWidth="1"/>
    <col min="9730" max="9730" width="24.7109375" style="221" customWidth="1"/>
    <col min="9731" max="9731" width="24" style="221" customWidth="1"/>
    <col min="9732" max="9732" width="11.7109375" style="221" customWidth="1"/>
    <col min="9733" max="9733" width="16" style="221" bestFit="1" customWidth="1"/>
    <col min="9734" max="9734" width="9.28515625" style="221" customWidth="1"/>
    <col min="9735" max="9735" width="15.7109375" style="221" customWidth="1"/>
    <col min="9736" max="9736" width="16.42578125" style="221" bestFit="1" customWidth="1"/>
    <col min="9737" max="9738" width="15.7109375" style="221" customWidth="1"/>
    <col min="9739" max="9739" width="4.7109375" style="221" bestFit="1" customWidth="1"/>
    <col min="9740" max="9740" width="15.42578125" style="221"/>
    <col min="9741" max="9741" width="15.5703125" style="221" bestFit="1" customWidth="1"/>
    <col min="9742" max="9984" width="15.42578125" style="221"/>
    <col min="9985" max="9985" width="3.140625" style="221" customWidth="1"/>
    <col min="9986" max="9986" width="24.7109375" style="221" customWidth="1"/>
    <col min="9987" max="9987" width="24" style="221" customWidth="1"/>
    <col min="9988" max="9988" width="11.7109375" style="221" customWidth="1"/>
    <col min="9989" max="9989" width="16" style="221" bestFit="1" customWidth="1"/>
    <col min="9990" max="9990" width="9.28515625" style="221" customWidth="1"/>
    <col min="9991" max="9991" width="15.7109375" style="221" customWidth="1"/>
    <col min="9992" max="9992" width="16.42578125" style="221" bestFit="1" customWidth="1"/>
    <col min="9993" max="9994" width="15.7109375" style="221" customWidth="1"/>
    <col min="9995" max="9995" width="4.7109375" style="221" bestFit="1" customWidth="1"/>
    <col min="9996" max="9996" width="15.42578125" style="221"/>
    <col min="9997" max="9997" width="15.5703125" style="221" bestFit="1" customWidth="1"/>
    <col min="9998" max="10240" width="15.42578125" style="221"/>
    <col min="10241" max="10241" width="3.140625" style="221" customWidth="1"/>
    <col min="10242" max="10242" width="24.7109375" style="221" customWidth="1"/>
    <col min="10243" max="10243" width="24" style="221" customWidth="1"/>
    <col min="10244" max="10244" width="11.7109375" style="221" customWidth="1"/>
    <col min="10245" max="10245" width="16" style="221" bestFit="1" customWidth="1"/>
    <col min="10246" max="10246" width="9.28515625" style="221" customWidth="1"/>
    <col min="10247" max="10247" width="15.7109375" style="221" customWidth="1"/>
    <col min="10248" max="10248" width="16.42578125" style="221" bestFit="1" customWidth="1"/>
    <col min="10249" max="10250" width="15.7109375" style="221" customWidth="1"/>
    <col min="10251" max="10251" width="4.7109375" style="221" bestFit="1" customWidth="1"/>
    <col min="10252" max="10252" width="15.42578125" style="221"/>
    <col min="10253" max="10253" width="15.5703125" style="221" bestFit="1" customWidth="1"/>
    <col min="10254" max="10496" width="15.42578125" style="221"/>
    <col min="10497" max="10497" width="3.140625" style="221" customWidth="1"/>
    <col min="10498" max="10498" width="24.7109375" style="221" customWidth="1"/>
    <col min="10499" max="10499" width="24" style="221" customWidth="1"/>
    <col min="10500" max="10500" width="11.7109375" style="221" customWidth="1"/>
    <col min="10501" max="10501" width="16" style="221" bestFit="1" customWidth="1"/>
    <col min="10502" max="10502" width="9.28515625" style="221" customWidth="1"/>
    <col min="10503" max="10503" width="15.7109375" style="221" customWidth="1"/>
    <col min="10504" max="10504" width="16.42578125" style="221" bestFit="1" customWidth="1"/>
    <col min="10505" max="10506" width="15.7109375" style="221" customWidth="1"/>
    <col min="10507" max="10507" width="4.7109375" style="221" bestFit="1" customWidth="1"/>
    <col min="10508" max="10508" width="15.42578125" style="221"/>
    <col min="10509" max="10509" width="15.5703125" style="221" bestFit="1" customWidth="1"/>
    <col min="10510" max="10752" width="15.42578125" style="221"/>
    <col min="10753" max="10753" width="3.140625" style="221" customWidth="1"/>
    <col min="10754" max="10754" width="24.7109375" style="221" customWidth="1"/>
    <col min="10755" max="10755" width="24" style="221" customWidth="1"/>
    <col min="10756" max="10756" width="11.7109375" style="221" customWidth="1"/>
    <col min="10757" max="10757" width="16" style="221" bestFit="1" customWidth="1"/>
    <col min="10758" max="10758" width="9.28515625" style="221" customWidth="1"/>
    <col min="10759" max="10759" width="15.7109375" style="221" customWidth="1"/>
    <col min="10760" max="10760" width="16.42578125" style="221" bestFit="1" customWidth="1"/>
    <col min="10761" max="10762" width="15.7109375" style="221" customWidth="1"/>
    <col min="10763" max="10763" width="4.7109375" style="221" bestFit="1" customWidth="1"/>
    <col min="10764" max="10764" width="15.42578125" style="221"/>
    <col min="10765" max="10765" width="15.5703125" style="221" bestFit="1" customWidth="1"/>
    <col min="10766" max="11008" width="15.42578125" style="221"/>
    <col min="11009" max="11009" width="3.140625" style="221" customWidth="1"/>
    <col min="11010" max="11010" width="24.7109375" style="221" customWidth="1"/>
    <col min="11011" max="11011" width="24" style="221" customWidth="1"/>
    <col min="11012" max="11012" width="11.7109375" style="221" customWidth="1"/>
    <col min="11013" max="11013" width="16" style="221" bestFit="1" customWidth="1"/>
    <col min="11014" max="11014" width="9.28515625" style="221" customWidth="1"/>
    <col min="11015" max="11015" width="15.7109375" style="221" customWidth="1"/>
    <col min="11016" max="11016" width="16.42578125" style="221" bestFit="1" customWidth="1"/>
    <col min="11017" max="11018" width="15.7109375" style="221" customWidth="1"/>
    <col min="11019" max="11019" width="4.7109375" style="221" bestFit="1" customWidth="1"/>
    <col min="11020" max="11020" width="15.42578125" style="221"/>
    <col min="11021" max="11021" width="15.5703125" style="221" bestFit="1" customWidth="1"/>
    <col min="11022" max="11264" width="15.42578125" style="221"/>
    <col min="11265" max="11265" width="3.140625" style="221" customWidth="1"/>
    <col min="11266" max="11266" width="24.7109375" style="221" customWidth="1"/>
    <col min="11267" max="11267" width="24" style="221" customWidth="1"/>
    <col min="11268" max="11268" width="11.7109375" style="221" customWidth="1"/>
    <col min="11269" max="11269" width="16" style="221" bestFit="1" customWidth="1"/>
    <col min="11270" max="11270" width="9.28515625" style="221" customWidth="1"/>
    <col min="11271" max="11271" width="15.7109375" style="221" customWidth="1"/>
    <col min="11272" max="11272" width="16.42578125" style="221" bestFit="1" customWidth="1"/>
    <col min="11273" max="11274" width="15.7109375" style="221" customWidth="1"/>
    <col min="11275" max="11275" width="4.7109375" style="221" bestFit="1" customWidth="1"/>
    <col min="11276" max="11276" width="15.42578125" style="221"/>
    <col min="11277" max="11277" width="15.5703125" style="221" bestFit="1" customWidth="1"/>
    <col min="11278" max="11520" width="15.42578125" style="221"/>
    <col min="11521" max="11521" width="3.140625" style="221" customWidth="1"/>
    <col min="11522" max="11522" width="24.7109375" style="221" customWidth="1"/>
    <col min="11523" max="11523" width="24" style="221" customWidth="1"/>
    <col min="11524" max="11524" width="11.7109375" style="221" customWidth="1"/>
    <col min="11525" max="11525" width="16" style="221" bestFit="1" customWidth="1"/>
    <col min="11526" max="11526" width="9.28515625" style="221" customWidth="1"/>
    <col min="11527" max="11527" width="15.7109375" style="221" customWidth="1"/>
    <col min="11528" max="11528" width="16.42578125" style="221" bestFit="1" customWidth="1"/>
    <col min="11529" max="11530" width="15.7109375" style="221" customWidth="1"/>
    <col min="11531" max="11531" width="4.7109375" style="221" bestFit="1" customWidth="1"/>
    <col min="11532" max="11532" width="15.42578125" style="221"/>
    <col min="11533" max="11533" width="15.5703125" style="221" bestFit="1" customWidth="1"/>
    <col min="11534" max="11776" width="15.42578125" style="221"/>
    <col min="11777" max="11777" width="3.140625" style="221" customWidth="1"/>
    <col min="11778" max="11778" width="24.7109375" style="221" customWidth="1"/>
    <col min="11779" max="11779" width="24" style="221" customWidth="1"/>
    <col min="11780" max="11780" width="11.7109375" style="221" customWidth="1"/>
    <col min="11781" max="11781" width="16" style="221" bestFit="1" customWidth="1"/>
    <col min="11782" max="11782" width="9.28515625" style="221" customWidth="1"/>
    <col min="11783" max="11783" width="15.7109375" style="221" customWidth="1"/>
    <col min="11784" max="11784" width="16.42578125" style="221" bestFit="1" customWidth="1"/>
    <col min="11785" max="11786" width="15.7109375" style="221" customWidth="1"/>
    <col min="11787" max="11787" width="4.7109375" style="221" bestFit="1" customWidth="1"/>
    <col min="11788" max="11788" width="15.42578125" style="221"/>
    <col min="11789" max="11789" width="15.5703125" style="221" bestFit="1" customWidth="1"/>
    <col min="11790" max="12032" width="15.42578125" style="221"/>
    <col min="12033" max="12033" width="3.140625" style="221" customWidth="1"/>
    <col min="12034" max="12034" width="24.7109375" style="221" customWidth="1"/>
    <col min="12035" max="12035" width="24" style="221" customWidth="1"/>
    <col min="12036" max="12036" width="11.7109375" style="221" customWidth="1"/>
    <col min="12037" max="12037" width="16" style="221" bestFit="1" customWidth="1"/>
    <col min="12038" max="12038" width="9.28515625" style="221" customWidth="1"/>
    <col min="12039" max="12039" width="15.7109375" style="221" customWidth="1"/>
    <col min="12040" max="12040" width="16.42578125" style="221" bestFit="1" customWidth="1"/>
    <col min="12041" max="12042" width="15.7109375" style="221" customWidth="1"/>
    <col min="12043" max="12043" width="4.7109375" style="221" bestFit="1" customWidth="1"/>
    <col min="12044" max="12044" width="15.42578125" style="221"/>
    <col min="12045" max="12045" width="15.5703125" style="221" bestFit="1" customWidth="1"/>
    <col min="12046" max="12288" width="15.42578125" style="221"/>
    <col min="12289" max="12289" width="3.140625" style="221" customWidth="1"/>
    <col min="12290" max="12290" width="24.7109375" style="221" customWidth="1"/>
    <col min="12291" max="12291" width="24" style="221" customWidth="1"/>
    <col min="12292" max="12292" width="11.7109375" style="221" customWidth="1"/>
    <col min="12293" max="12293" width="16" style="221" bestFit="1" customWidth="1"/>
    <col min="12294" max="12294" width="9.28515625" style="221" customWidth="1"/>
    <col min="12295" max="12295" width="15.7109375" style="221" customWidth="1"/>
    <col min="12296" max="12296" width="16.42578125" style="221" bestFit="1" customWidth="1"/>
    <col min="12297" max="12298" width="15.7109375" style="221" customWidth="1"/>
    <col min="12299" max="12299" width="4.7109375" style="221" bestFit="1" customWidth="1"/>
    <col min="12300" max="12300" width="15.42578125" style="221"/>
    <col min="12301" max="12301" width="15.5703125" style="221" bestFit="1" customWidth="1"/>
    <col min="12302" max="12544" width="15.42578125" style="221"/>
    <col min="12545" max="12545" width="3.140625" style="221" customWidth="1"/>
    <col min="12546" max="12546" width="24.7109375" style="221" customWidth="1"/>
    <col min="12547" max="12547" width="24" style="221" customWidth="1"/>
    <col min="12548" max="12548" width="11.7109375" style="221" customWidth="1"/>
    <col min="12549" max="12549" width="16" style="221" bestFit="1" customWidth="1"/>
    <col min="12550" max="12550" width="9.28515625" style="221" customWidth="1"/>
    <col min="12551" max="12551" width="15.7109375" style="221" customWidth="1"/>
    <col min="12552" max="12552" width="16.42578125" style="221" bestFit="1" customWidth="1"/>
    <col min="12553" max="12554" width="15.7109375" style="221" customWidth="1"/>
    <col min="12555" max="12555" width="4.7109375" style="221" bestFit="1" customWidth="1"/>
    <col min="12556" max="12556" width="15.42578125" style="221"/>
    <col min="12557" max="12557" width="15.5703125" style="221" bestFit="1" customWidth="1"/>
    <col min="12558" max="12800" width="15.42578125" style="221"/>
    <col min="12801" max="12801" width="3.140625" style="221" customWidth="1"/>
    <col min="12802" max="12802" width="24.7109375" style="221" customWidth="1"/>
    <col min="12803" max="12803" width="24" style="221" customWidth="1"/>
    <col min="12804" max="12804" width="11.7109375" style="221" customWidth="1"/>
    <col min="12805" max="12805" width="16" style="221" bestFit="1" customWidth="1"/>
    <col min="12806" max="12806" width="9.28515625" style="221" customWidth="1"/>
    <col min="12807" max="12807" width="15.7109375" style="221" customWidth="1"/>
    <col min="12808" max="12808" width="16.42578125" style="221" bestFit="1" customWidth="1"/>
    <col min="12809" max="12810" width="15.7109375" style="221" customWidth="1"/>
    <col min="12811" max="12811" width="4.7109375" style="221" bestFit="1" customWidth="1"/>
    <col min="12812" max="12812" width="15.42578125" style="221"/>
    <col min="12813" max="12813" width="15.5703125" style="221" bestFit="1" customWidth="1"/>
    <col min="12814" max="13056" width="15.42578125" style="221"/>
    <col min="13057" max="13057" width="3.140625" style="221" customWidth="1"/>
    <col min="13058" max="13058" width="24.7109375" style="221" customWidth="1"/>
    <col min="13059" max="13059" width="24" style="221" customWidth="1"/>
    <col min="13060" max="13060" width="11.7109375" style="221" customWidth="1"/>
    <col min="13061" max="13061" width="16" style="221" bestFit="1" customWidth="1"/>
    <col min="13062" max="13062" width="9.28515625" style="221" customWidth="1"/>
    <col min="13063" max="13063" width="15.7109375" style="221" customWidth="1"/>
    <col min="13064" max="13064" width="16.42578125" style="221" bestFit="1" customWidth="1"/>
    <col min="13065" max="13066" width="15.7109375" style="221" customWidth="1"/>
    <col min="13067" max="13067" width="4.7109375" style="221" bestFit="1" customWidth="1"/>
    <col min="13068" max="13068" width="15.42578125" style="221"/>
    <col min="13069" max="13069" width="15.5703125" style="221" bestFit="1" customWidth="1"/>
    <col min="13070" max="13312" width="15.42578125" style="221"/>
    <col min="13313" max="13313" width="3.140625" style="221" customWidth="1"/>
    <col min="13314" max="13314" width="24.7109375" style="221" customWidth="1"/>
    <col min="13315" max="13315" width="24" style="221" customWidth="1"/>
    <col min="13316" max="13316" width="11.7109375" style="221" customWidth="1"/>
    <col min="13317" max="13317" width="16" style="221" bestFit="1" customWidth="1"/>
    <col min="13318" max="13318" width="9.28515625" style="221" customWidth="1"/>
    <col min="13319" max="13319" width="15.7109375" style="221" customWidth="1"/>
    <col min="13320" max="13320" width="16.42578125" style="221" bestFit="1" customWidth="1"/>
    <col min="13321" max="13322" width="15.7109375" style="221" customWidth="1"/>
    <col min="13323" max="13323" width="4.7109375" style="221" bestFit="1" customWidth="1"/>
    <col min="13324" max="13324" width="15.42578125" style="221"/>
    <col min="13325" max="13325" width="15.5703125" style="221" bestFit="1" customWidth="1"/>
    <col min="13326" max="13568" width="15.42578125" style="221"/>
    <col min="13569" max="13569" width="3.140625" style="221" customWidth="1"/>
    <col min="13570" max="13570" width="24.7109375" style="221" customWidth="1"/>
    <col min="13571" max="13571" width="24" style="221" customWidth="1"/>
    <col min="13572" max="13572" width="11.7109375" style="221" customWidth="1"/>
    <col min="13573" max="13573" width="16" style="221" bestFit="1" customWidth="1"/>
    <col min="13574" max="13574" width="9.28515625" style="221" customWidth="1"/>
    <col min="13575" max="13575" width="15.7109375" style="221" customWidth="1"/>
    <col min="13576" max="13576" width="16.42578125" style="221" bestFit="1" customWidth="1"/>
    <col min="13577" max="13578" width="15.7109375" style="221" customWidth="1"/>
    <col min="13579" max="13579" width="4.7109375" style="221" bestFit="1" customWidth="1"/>
    <col min="13580" max="13580" width="15.42578125" style="221"/>
    <col min="13581" max="13581" width="15.5703125" style="221" bestFit="1" customWidth="1"/>
    <col min="13582" max="13824" width="15.42578125" style="221"/>
    <col min="13825" max="13825" width="3.140625" style="221" customWidth="1"/>
    <col min="13826" max="13826" width="24.7109375" style="221" customWidth="1"/>
    <col min="13827" max="13827" width="24" style="221" customWidth="1"/>
    <col min="13828" max="13828" width="11.7109375" style="221" customWidth="1"/>
    <col min="13829" max="13829" width="16" style="221" bestFit="1" customWidth="1"/>
    <col min="13830" max="13830" width="9.28515625" style="221" customWidth="1"/>
    <col min="13831" max="13831" width="15.7109375" style="221" customWidth="1"/>
    <col min="13832" max="13832" width="16.42578125" style="221" bestFit="1" customWidth="1"/>
    <col min="13833" max="13834" width="15.7109375" style="221" customWidth="1"/>
    <col min="13835" max="13835" width="4.7109375" style="221" bestFit="1" customWidth="1"/>
    <col min="13836" max="13836" width="15.42578125" style="221"/>
    <col min="13837" max="13837" width="15.5703125" style="221" bestFit="1" customWidth="1"/>
    <col min="13838" max="14080" width="15.42578125" style="221"/>
    <col min="14081" max="14081" width="3.140625" style="221" customWidth="1"/>
    <col min="14082" max="14082" width="24.7109375" style="221" customWidth="1"/>
    <col min="14083" max="14083" width="24" style="221" customWidth="1"/>
    <col min="14084" max="14084" width="11.7109375" style="221" customWidth="1"/>
    <col min="14085" max="14085" width="16" style="221" bestFit="1" customWidth="1"/>
    <col min="14086" max="14086" width="9.28515625" style="221" customWidth="1"/>
    <col min="14087" max="14087" width="15.7109375" style="221" customWidth="1"/>
    <col min="14088" max="14088" width="16.42578125" style="221" bestFit="1" customWidth="1"/>
    <col min="14089" max="14090" width="15.7109375" style="221" customWidth="1"/>
    <col min="14091" max="14091" width="4.7109375" style="221" bestFit="1" customWidth="1"/>
    <col min="14092" max="14092" width="15.42578125" style="221"/>
    <col min="14093" max="14093" width="15.5703125" style="221" bestFit="1" customWidth="1"/>
    <col min="14094" max="14336" width="15.42578125" style="221"/>
    <col min="14337" max="14337" width="3.140625" style="221" customWidth="1"/>
    <col min="14338" max="14338" width="24.7109375" style="221" customWidth="1"/>
    <col min="14339" max="14339" width="24" style="221" customWidth="1"/>
    <col min="14340" max="14340" width="11.7109375" style="221" customWidth="1"/>
    <col min="14341" max="14341" width="16" style="221" bestFit="1" customWidth="1"/>
    <col min="14342" max="14342" width="9.28515625" style="221" customWidth="1"/>
    <col min="14343" max="14343" width="15.7109375" style="221" customWidth="1"/>
    <col min="14344" max="14344" width="16.42578125" style="221" bestFit="1" customWidth="1"/>
    <col min="14345" max="14346" width="15.7109375" style="221" customWidth="1"/>
    <col min="14347" max="14347" width="4.7109375" style="221" bestFit="1" customWidth="1"/>
    <col min="14348" max="14348" width="15.42578125" style="221"/>
    <col min="14349" max="14349" width="15.5703125" style="221" bestFit="1" customWidth="1"/>
    <col min="14350" max="14592" width="15.42578125" style="221"/>
    <col min="14593" max="14593" width="3.140625" style="221" customWidth="1"/>
    <col min="14594" max="14594" width="24.7109375" style="221" customWidth="1"/>
    <col min="14595" max="14595" width="24" style="221" customWidth="1"/>
    <col min="14596" max="14596" width="11.7109375" style="221" customWidth="1"/>
    <col min="14597" max="14597" width="16" style="221" bestFit="1" customWidth="1"/>
    <col min="14598" max="14598" width="9.28515625" style="221" customWidth="1"/>
    <col min="14599" max="14599" width="15.7109375" style="221" customWidth="1"/>
    <col min="14600" max="14600" width="16.42578125" style="221" bestFit="1" customWidth="1"/>
    <col min="14601" max="14602" width="15.7109375" style="221" customWidth="1"/>
    <col min="14603" max="14603" width="4.7109375" style="221" bestFit="1" customWidth="1"/>
    <col min="14604" max="14604" width="15.42578125" style="221"/>
    <col min="14605" max="14605" width="15.5703125" style="221" bestFit="1" customWidth="1"/>
    <col min="14606" max="14848" width="15.42578125" style="221"/>
    <col min="14849" max="14849" width="3.140625" style="221" customWidth="1"/>
    <col min="14850" max="14850" width="24.7109375" style="221" customWidth="1"/>
    <col min="14851" max="14851" width="24" style="221" customWidth="1"/>
    <col min="14852" max="14852" width="11.7109375" style="221" customWidth="1"/>
    <col min="14853" max="14853" width="16" style="221" bestFit="1" customWidth="1"/>
    <col min="14854" max="14854" width="9.28515625" style="221" customWidth="1"/>
    <col min="14855" max="14855" width="15.7109375" style="221" customWidth="1"/>
    <col min="14856" max="14856" width="16.42578125" style="221" bestFit="1" customWidth="1"/>
    <col min="14857" max="14858" width="15.7109375" style="221" customWidth="1"/>
    <col min="14859" max="14859" width="4.7109375" style="221" bestFit="1" customWidth="1"/>
    <col min="14860" max="14860" width="15.42578125" style="221"/>
    <col min="14861" max="14861" width="15.5703125" style="221" bestFit="1" customWidth="1"/>
    <col min="14862" max="15104" width="15.42578125" style="221"/>
    <col min="15105" max="15105" width="3.140625" style="221" customWidth="1"/>
    <col min="15106" max="15106" width="24.7109375" style="221" customWidth="1"/>
    <col min="15107" max="15107" width="24" style="221" customWidth="1"/>
    <col min="15108" max="15108" width="11.7109375" style="221" customWidth="1"/>
    <col min="15109" max="15109" width="16" style="221" bestFit="1" customWidth="1"/>
    <col min="15110" max="15110" width="9.28515625" style="221" customWidth="1"/>
    <col min="15111" max="15111" width="15.7109375" style="221" customWidth="1"/>
    <col min="15112" max="15112" width="16.42578125" style="221" bestFit="1" customWidth="1"/>
    <col min="15113" max="15114" width="15.7109375" style="221" customWidth="1"/>
    <col min="15115" max="15115" width="4.7109375" style="221" bestFit="1" customWidth="1"/>
    <col min="15116" max="15116" width="15.42578125" style="221"/>
    <col min="15117" max="15117" width="15.5703125" style="221" bestFit="1" customWidth="1"/>
    <col min="15118" max="15360" width="15.42578125" style="221"/>
    <col min="15361" max="15361" width="3.140625" style="221" customWidth="1"/>
    <col min="15362" max="15362" width="24.7109375" style="221" customWidth="1"/>
    <col min="15363" max="15363" width="24" style="221" customWidth="1"/>
    <col min="15364" max="15364" width="11.7109375" style="221" customWidth="1"/>
    <col min="15365" max="15365" width="16" style="221" bestFit="1" customWidth="1"/>
    <col min="15366" max="15366" width="9.28515625" style="221" customWidth="1"/>
    <col min="15367" max="15367" width="15.7109375" style="221" customWidth="1"/>
    <col min="15368" max="15368" width="16.42578125" style="221" bestFit="1" customWidth="1"/>
    <col min="15369" max="15370" width="15.7109375" style="221" customWidth="1"/>
    <col min="15371" max="15371" width="4.7109375" style="221" bestFit="1" customWidth="1"/>
    <col min="15372" max="15372" width="15.42578125" style="221"/>
    <col min="15373" max="15373" width="15.5703125" style="221" bestFit="1" customWidth="1"/>
    <col min="15374" max="15616" width="15.42578125" style="221"/>
    <col min="15617" max="15617" width="3.140625" style="221" customWidth="1"/>
    <col min="15618" max="15618" width="24.7109375" style="221" customWidth="1"/>
    <col min="15619" max="15619" width="24" style="221" customWidth="1"/>
    <col min="15620" max="15620" width="11.7109375" style="221" customWidth="1"/>
    <col min="15621" max="15621" width="16" style="221" bestFit="1" customWidth="1"/>
    <col min="15622" max="15622" width="9.28515625" style="221" customWidth="1"/>
    <col min="15623" max="15623" width="15.7109375" style="221" customWidth="1"/>
    <col min="15624" max="15624" width="16.42578125" style="221" bestFit="1" customWidth="1"/>
    <col min="15625" max="15626" width="15.7109375" style="221" customWidth="1"/>
    <col min="15627" max="15627" width="4.7109375" style="221" bestFit="1" customWidth="1"/>
    <col min="15628" max="15628" width="15.42578125" style="221"/>
    <col min="15629" max="15629" width="15.5703125" style="221" bestFit="1" customWidth="1"/>
    <col min="15630" max="15872" width="15.42578125" style="221"/>
    <col min="15873" max="15873" width="3.140625" style="221" customWidth="1"/>
    <col min="15874" max="15874" width="24.7109375" style="221" customWidth="1"/>
    <col min="15875" max="15875" width="24" style="221" customWidth="1"/>
    <col min="15876" max="15876" width="11.7109375" style="221" customWidth="1"/>
    <col min="15877" max="15877" width="16" style="221" bestFit="1" customWidth="1"/>
    <col min="15878" max="15878" width="9.28515625" style="221" customWidth="1"/>
    <col min="15879" max="15879" width="15.7109375" style="221" customWidth="1"/>
    <col min="15880" max="15880" width="16.42578125" style="221" bestFit="1" customWidth="1"/>
    <col min="15881" max="15882" width="15.7109375" style="221" customWidth="1"/>
    <col min="15883" max="15883" width="4.7109375" style="221" bestFit="1" customWidth="1"/>
    <col min="15884" max="15884" width="15.42578125" style="221"/>
    <col min="15885" max="15885" width="15.5703125" style="221" bestFit="1" customWidth="1"/>
    <col min="15886" max="16128" width="15.42578125" style="221"/>
    <col min="16129" max="16129" width="3.140625" style="221" customWidth="1"/>
    <col min="16130" max="16130" width="24.7109375" style="221" customWidth="1"/>
    <col min="16131" max="16131" width="24" style="221" customWidth="1"/>
    <col min="16132" max="16132" width="11.7109375" style="221" customWidth="1"/>
    <col min="16133" max="16133" width="16" style="221" bestFit="1" customWidth="1"/>
    <col min="16134" max="16134" width="9.28515625" style="221" customWidth="1"/>
    <col min="16135" max="16135" width="15.7109375" style="221" customWidth="1"/>
    <col min="16136" max="16136" width="16.42578125" style="221" bestFit="1" customWidth="1"/>
    <col min="16137" max="16138" width="15.7109375" style="221" customWidth="1"/>
    <col min="16139" max="16139" width="4.7109375" style="221" bestFit="1" customWidth="1"/>
    <col min="16140" max="16140" width="15.42578125" style="221"/>
    <col min="16141" max="16141" width="15.5703125" style="221" bestFit="1" customWidth="1"/>
    <col min="16142" max="16384" width="15.42578125" style="221"/>
  </cols>
  <sheetData>
    <row r="1" spans="2:11" x14ac:dyDescent="0.25">
      <c r="J1" s="22" t="s">
        <v>445</v>
      </c>
    </row>
    <row r="2" spans="2:11" x14ac:dyDescent="0.25">
      <c r="J2" s="22" t="str">
        <f>+Cover!$A$5</f>
        <v>CAUSE NO. 45032-S13</v>
      </c>
    </row>
    <row r="3" spans="2:11" ht="16.5" thickBot="1" x14ac:dyDescent="0.3">
      <c r="J3" s="22" t="s">
        <v>98</v>
      </c>
    </row>
    <row r="4" spans="2:11" ht="16.5" thickTop="1" x14ac:dyDescent="0.25">
      <c r="B4" s="303" t="s">
        <v>451</v>
      </c>
      <c r="C4" s="304"/>
      <c r="D4" s="304"/>
      <c r="E4" s="304"/>
      <c r="F4" s="304"/>
      <c r="G4" s="304"/>
      <c r="H4" s="304"/>
      <c r="I4" s="304"/>
      <c r="J4" s="305"/>
      <c r="K4" s="222"/>
    </row>
    <row r="5" spans="2:11" x14ac:dyDescent="0.25">
      <c r="B5" s="223" t="s">
        <v>452</v>
      </c>
      <c r="C5" s="224"/>
      <c r="D5" s="224"/>
      <c r="E5" s="224"/>
      <c r="F5" s="224"/>
      <c r="G5" s="224"/>
      <c r="H5" s="224"/>
      <c r="I5" s="224"/>
      <c r="J5" s="225"/>
    </row>
    <row r="6" spans="2:11" x14ac:dyDescent="0.25">
      <c r="B6" s="226">
        <v>40755</v>
      </c>
      <c r="C6" s="224"/>
      <c r="D6" s="224"/>
      <c r="E6" s="224"/>
      <c r="F6" s="224"/>
      <c r="G6" s="224"/>
      <c r="H6" s="224"/>
      <c r="I6" s="224"/>
      <c r="J6" s="225"/>
    </row>
    <row r="7" spans="2:11" ht="16.5" thickBot="1" x14ac:dyDescent="0.3">
      <c r="B7" s="227"/>
      <c r="C7" s="228"/>
      <c r="D7" s="228"/>
      <c r="E7" s="228"/>
      <c r="F7" s="228"/>
      <c r="G7" s="228"/>
      <c r="H7" s="228"/>
      <c r="I7" s="228"/>
      <c r="J7" s="229"/>
    </row>
    <row r="8" spans="2:11" ht="16.5" thickTop="1" x14ac:dyDescent="0.25"/>
    <row r="9" spans="2:11" x14ac:dyDescent="0.25">
      <c r="B9" s="306" t="s">
        <v>108</v>
      </c>
      <c r="C9" s="307"/>
      <c r="D9" s="307"/>
      <c r="E9" s="307"/>
      <c r="F9" s="307"/>
      <c r="G9" s="307"/>
      <c r="H9" s="307"/>
      <c r="I9" s="307"/>
      <c r="J9" s="308"/>
    </row>
    <row r="10" spans="2:11" x14ac:dyDescent="0.25">
      <c r="G10" s="230" t="s">
        <v>109</v>
      </c>
      <c r="H10" s="230" t="s">
        <v>110</v>
      </c>
      <c r="I10" s="230" t="s">
        <v>111</v>
      </c>
      <c r="J10" s="230" t="s">
        <v>112</v>
      </c>
    </row>
    <row r="11" spans="2:11" x14ac:dyDescent="0.25">
      <c r="B11" s="231" t="s">
        <v>113</v>
      </c>
    </row>
    <row r="12" spans="2:11" x14ac:dyDescent="0.25">
      <c r="C12" s="231" t="s">
        <v>114</v>
      </c>
      <c r="D12" s="232">
        <v>40755</v>
      </c>
      <c r="H12" s="233">
        <v>1936695</v>
      </c>
    </row>
    <row r="13" spans="2:11" x14ac:dyDescent="0.25">
      <c r="C13" s="231" t="s">
        <v>115</v>
      </c>
      <c r="D13" s="232">
        <f>+D12</f>
        <v>40755</v>
      </c>
      <c r="H13" s="234">
        <f>3672540-2633323</f>
        <v>1039217</v>
      </c>
    </row>
    <row r="15" spans="2:11" x14ac:dyDescent="0.25">
      <c r="D15" s="231" t="s">
        <v>116</v>
      </c>
      <c r="H15" s="235">
        <f>H13-H12</f>
        <v>-897478</v>
      </c>
    </row>
    <row r="16" spans="2:11" x14ac:dyDescent="0.25">
      <c r="H16" s="235"/>
    </row>
    <row r="17" spans="2:13" x14ac:dyDescent="0.25">
      <c r="D17" s="231" t="s">
        <v>117</v>
      </c>
      <c r="G17" s="236">
        <v>-3303</v>
      </c>
      <c r="H17" s="235"/>
      <c r="I17" s="236"/>
    </row>
    <row r="18" spans="2:13" x14ac:dyDescent="0.25">
      <c r="D18" s="231" t="s">
        <v>118</v>
      </c>
      <c r="G18" s="236"/>
      <c r="H18" s="235"/>
      <c r="I18" s="236">
        <v>8181</v>
      </c>
    </row>
    <row r="19" spans="2:13" x14ac:dyDescent="0.25">
      <c r="D19" s="231" t="s">
        <v>453</v>
      </c>
      <c r="G19" s="236">
        <v>-5048</v>
      </c>
      <c r="H19" s="235"/>
      <c r="I19" s="236"/>
    </row>
    <row r="20" spans="2:13" x14ac:dyDescent="0.25">
      <c r="D20" s="231" t="s">
        <v>120</v>
      </c>
      <c r="G20" s="237"/>
      <c r="H20" s="237"/>
      <c r="I20" s="237"/>
      <c r="J20" s="234">
        <v>2911</v>
      </c>
      <c r="M20" s="233"/>
    </row>
    <row r="22" spans="2:13" ht="16.5" thickBot="1" x14ac:dyDescent="0.3">
      <c r="E22" s="231" t="s">
        <v>121</v>
      </c>
      <c r="G22" s="238">
        <f>SUM(G15:G20)</f>
        <v>-8351</v>
      </c>
      <c r="H22" s="238">
        <f>SUM(H15:H20)</f>
        <v>-897478</v>
      </c>
      <c r="I22" s="238">
        <f>SUM(I15:I20)</f>
        <v>8181</v>
      </c>
      <c r="J22" s="238">
        <f>SUM(J15:J20)</f>
        <v>2911</v>
      </c>
    </row>
    <row r="24" spans="2:13" x14ac:dyDescent="0.25">
      <c r="C24" s="231" t="s">
        <v>122</v>
      </c>
      <c r="D24" s="239">
        <v>8.5000000000000006E-2</v>
      </c>
      <c r="E24" s="240">
        <f>G24+H24+I24+J24</f>
        <v>-76052.645000000019</v>
      </c>
      <c r="F24" s="241"/>
      <c r="G24" s="242">
        <f>G22*$D$24</f>
        <v>-709.83500000000004</v>
      </c>
      <c r="H24" s="242">
        <f>H22*$D$24</f>
        <v>-76285.63</v>
      </c>
      <c r="I24" s="242">
        <f>I22*$D$24</f>
        <v>695.3850000000001</v>
      </c>
      <c r="J24" s="242">
        <f>J22*$D$24</f>
        <v>247.43500000000003</v>
      </c>
    </row>
    <row r="26" spans="2:13" ht="16.5" thickBot="1" x14ac:dyDescent="0.3">
      <c r="D26" s="243" t="s">
        <v>123</v>
      </c>
      <c r="E26" s="244">
        <f>ROUND(SUM(E24:E25),0)</f>
        <v>-76053</v>
      </c>
      <c r="F26" s="241"/>
      <c r="G26" s="245">
        <f>SUM(G24:G24)</f>
        <v>-709.83500000000004</v>
      </c>
      <c r="H26" s="245">
        <f>SUM(H24:H24)</f>
        <v>-76285.63</v>
      </c>
      <c r="I26" s="245">
        <f>SUM(I24:I24)</f>
        <v>695.3850000000001</v>
      </c>
      <c r="J26" s="245">
        <f>SUM(J24:J24)</f>
        <v>247.43500000000003</v>
      </c>
    </row>
    <row r="27" spans="2:13" ht="16.5" thickTop="1" x14ac:dyDescent="0.25">
      <c r="E27" s="233"/>
      <c r="H27" s="240"/>
    </row>
    <row r="29" spans="2:13" x14ac:dyDescent="0.25">
      <c r="B29" s="306" t="s">
        <v>125</v>
      </c>
      <c r="C29" s="307"/>
      <c r="D29" s="307"/>
      <c r="E29" s="307"/>
      <c r="F29" s="307"/>
      <c r="G29" s="307"/>
      <c r="H29" s="307"/>
      <c r="I29" s="307"/>
      <c r="J29" s="308"/>
    </row>
    <row r="30" spans="2:13" x14ac:dyDescent="0.25">
      <c r="G30" s="230" t="s">
        <v>109</v>
      </c>
      <c r="H30" s="230" t="s">
        <v>110</v>
      </c>
      <c r="I30" s="230" t="s">
        <v>111</v>
      </c>
      <c r="J30" s="230" t="s">
        <v>112</v>
      </c>
    </row>
    <row r="31" spans="2:13" x14ac:dyDescent="0.25">
      <c r="B31" s="231" t="s">
        <v>113</v>
      </c>
    </row>
    <row r="32" spans="2:13" x14ac:dyDescent="0.25">
      <c r="C32" s="231" t="s">
        <v>114</v>
      </c>
      <c r="D32" s="232">
        <f>+D12</f>
        <v>40755</v>
      </c>
      <c r="H32" s="233">
        <f>+H12</f>
        <v>1936695</v>
      </c>
    </row>
    <row r="33" spans="3:10" x14ac:dyDescent="0.25">
      <c r="C33" s="231" t="s">
        <v>115</v>
      </c>
      <c r="D33" s="232">
        <f>+D12</f>
        <v>40755</v>
      </c>
      <c r="H33" s="234">
        <f>3672540-3131486</f>
        <v>541054</v>
      </c>
    </row>
    <row r="35" spans="3:10" x14ac:dyDescent="0.25">
      <c r="D35" s="231" t="s">
        <v>116</v>
      </c>
      <c r="H35" s="235">
        <f>H33-H32</f>
        <v>-1395641</v>
      </c>
    </row>
    <row r="36" spans="3:10" x14ac:dyDescent="0.25">
      <c r="H36" s="235"/>
    </row>
    <row r="37" spans="3:10" x14ac:dyDescent="0.25">
      <c r="D37" s="231" t="str">
        <f>+D17</f>
        <v>ACCRUED SALARY</v>
      </c>
      <c r="G37" s="236">
        <f>+G17</f>
        <v>-3303</v>
      </c>
      <c r="H37" s="235"/>
      <c r="I37" s="236"/>
    </row>
    <row r="38" spans="3:10" x14ac:dyDescent="0.25">
      <c r="D38" s="231" t="str">
        <f>+D18</f>
        <v>UNBILLED REVENUE</v>
      </c>
      <c r="G38" s="236"/>
      <c r="H38" s="235"/>
      <c r="I38" s="236">
        <f>+I18</f>
        <v>8181</v>
      </c>
    </row>
    <row r="39" spans="3:10" x14ac:dyDescent="0.25">
      <c r="D39" s="231" t="str">
        <f>+D19</f>
        <v>DEFERRED CREDITS - REFUNDS</v>
      </c>
      <c r="G39" s="236">
        <f>+G19</f>
        <v>-5048</v>
      </c>
      <c r="H39" s="235"/>
      <c r="I39" s="236"/>
    </row>
    <row r="40" spans="3:10" x14ac:dyDescent="0.25">
      <c r="D40" s="231" t="str">
        <f>+D20</f>
        <v>UNAMORTIZED RATE CASE</v>
      </c>
      <c r="G40" s="246"/>
      <c r="H40" s="246"/>
      <c r="I40" s="246"/>
      <c r="J40" s="247">
        <f>+J20</f>
        <v>2911</v>
      </c>
    </row>
    <row r="41" spans="3:10" x14ac:dyDescent="0.25">
      <c r="D41" s="231" t="s">
        <v>454</v>
      </c>
      <c r="G41" s="242"/>
      <c r="H41" s="237"/>
      <c r="I41" s="237"/>
      <c r="J41" s="234">
        <v>26200</v>
      </c>
    </row>
    <row r="43" spans="3:10" ht="16.5" thickBot="1" x14ac:dyDescent="0.3">
      <c r="E43" s="231" t="s">
        <v>121</v>
      </c>
      <c r="G43" s="238">
        <f>SUM(G35:G41)</f>
        <v>-8351</v>
      </c>
      <c r="H43" s="238">
        <f>SUM(H35:H41)</f>
        <v>-1395641</v>
      </c>
      <c r="I43" s="238">
        <f>SUM(I35:I41)</f>
        <v>8181</v>
      </c>
      <c r="J43" s="238">
        <f>SUM(J35:J41)</f>
        <v>29111</v>
      </c>
    </row>
    <row r="45" spans="3:10" x14ac:dyDescent="0.25">
      <c r="C45" s="231" t="s">
        <v>126</v>
      </c>
      <c r="D45" s="248">
        <v>0.21</v>
      </c>
      <c r="E45" s="242">
        <f>G45+H45+I45+J45</f>
        <v>-271035.94454999996</v>
      </c>
      <c r="F45" s="249"/>
      <c r="G45" s="242">
        <f>(G43-G24)*$D$45</f>
        <v>-1604.64465</v>
      </c>
      <c r="H45" s="242">
        <f>(H43-H24)*$D$45</f>
        <v>-277064.62770000001</v>
      </c>
      <c r="I45" s="242">
        <f>(I43-I24)*$D$45</f>
        <v>1571.9791499999999</v>
      </c>
      <c r="J45" s="242">
        <f>(J43-J24)*$D$45</f>
        <v>6061.3486499999999</v>
      </c>
    </row>
    <row r="47" spans="3:10" ht="16.5" thickBot="1" x14ac:dyDescent="0.3">
      <c r="C47" s="250"/>
      <c r="D47" s="243" t="s">
        <v>128</v>
      </c>
      <c r="E47" s="244">
        <f>ROUND(SUM(E45:E46),0)</f>
        <v>-271036</v>
      </c>
      <c r="F47" s="241"/>
      <c r="G47" s="245">
        <f>SUM(G45:G45)</f>
        <v>-1604.64465</v>
      </c>
      <c r="H47" s="245">
        <f>SUM(H45:H45)</f>
        <v>-277064.62770000001</v>
      </c>
      <c r="I47" s="245">
        <f>SUM(I45:I45)</f>
        <v>1571.9791499999999</v>
      </c>
      <c r="J47" s="245">
        <f>SUM(J45:J45)</f>
        <v>6061.3486499999999</v>
      </c>
    </row>
    <row r="48" spans="3:10" ht="16.5" thickTop="1" x14ac:dyDescent="0.25">
      <c r="E48" s="233"/>
      <c r="H48" s="240"/>
    </row>
    <row r="49" spans="2:10" x14ac:dyDescent="0.25">
      <c r="E49" s="233"/>
      <c r="H49" s="240"/>
    </row>
    <row r="50" spans="2:10" x14ac:dyDescent="0.25">
      <c r="B50" s="219" t="s">
        <v>455</v>
      </c>
      <c r="H50" s="240">
        <f>+H43</f>
        <v>-1395641</v>
      </c>
    </row>
    <row r="51" spans="2:10" x14ac:dyDescent="0.25">
      <c r="B51" s="219" t="s">
        <v>456</v>
      </c>
      <c r="H51" s="219">
        <f>ROUND(H22*0.085,0)</f>
        <v>-76286</v>
      </c>
    </row>
    <row r="52" spans="2:10" x14ac:dyDescent="0.25">
      <c r="B52" s="219" t="s">
        <v>457</v>
      </c>
      <c r="H52" s="219">
        <f>ROUND((H50-H51)*0.21,0)</f>
        <v>-277065</v>
      </c>
    </row>
    <row r="53" spans="2:10" x14ac:dyDescent="0.25">
      <c r="H53" s="240"/>
    </row>
    <row r="55" spans="2:10" x14ac:dyDescent="0.25">
      <c r="B55" s="221" t="s">
        <v>458</v>
      </c>
      <c r="H55" s="220" t="s">
        <v>459</v>
      </c>
      <c r="I55" s="220" t="s">
        <v>460</v>
      </c>
      <c r="J55" s="220" t="s">
        <v>461</v>
      </c>
    </row>
    <row r="56" spans="2:10" x14ac:dyDescent="0.25">
      <c r="B56" s="221" t="s">
        <v>462</v>
      </c>
      <c r="H56" s="221">
        <v>0</v>
      </c>
    </row>
    <row r="57" spans="2:10" x14ac:dyDescent="0.25">
      <c r="B57" s="221" t="s">
        <v>463</v>
      </c>
      <c r="H57" s="221">
        <v>0</v>
      </c>
    </row>
    <row r="58" spans="2:10" x14ac:dyDescent="0.25">
      <c r="B58" s="221" t="s">
        <v>464</v>
      </c>
      <c r="H58" s="240">
        <f>ROUND(G39,2)</f>
        <v>-5048</v>
      </c>
      <c r="I58" s="219">
        <f>ROUND(H58*0.085,0)</f>
        <v>-429</v>
      </c>
      <c r="J58" s="219">
        <f>ROUND((H58-I58)*0.21,0)</f>
        <v>-970</v>
      </c>
    </row>
    <row r="59" spans="2:10" x14ac:dyDescent="0.25">
      <c r="B59" s="221" t="s">
        <v>465</v>
      </c>
      <c r="H59" s="233">
        <f>ROUND(J40,2)</f>
        <v>2911</v>
      </c>
      <c r="I59" s="219">
        <f>ROUND(H59*0.085,0)</f>
        <v>247</v>
      </c>
      <c r="J59" s="219">
        <f>ROUND((H59-I59)*0.21,0)</f>
        <v>559</v>
      </c>
    </row>
    <row r="60" spans="2:10" x14ac:dyDescent="0.25">
      <c r="B60" s="221" t="s">
        <v>466</v>
      </c>
      <c r="H60" s="233">
        <f>ROUND(J41,2)</f>
        <v>26200</v>
      </c>
      <c r="I60" s="219">
        <f>ROUND(H60*0.085,0)</f>
        <v>2227</v>
      </c>
      <c r="J60" s="219">
        <f>ROUND((H60-I60)*0.21,0)</f>
        <v>5034</v>
      </c>
    </row>
    <row r="62" spans="2:10" x14ac:dyDescent="0.25">
      <c r="H62" s="240">
        <f>SUM(H56:H61)</f>
        <v>24063</v>
      </c>
      <c r="I62" s="240">
        <f>SUM(I56:I61)</f>
        <v>2045</v>
      </c>
      <c r="J62" s="240">
        <f>SUM(J56:J61)</f>
        <v>4623</v>
      </c>
    </row>
  </sheetData>
  <mergeCells count="3">
    <mergeCell ref="B4:J4"/>
    <mergeCell ref="B9:J9"/>
    <mergeCell ref="B29:J29"/>
  </mergeCells>
  <pageMargins left="0.7" right="0.7" top="0.75" bottom="0.75" header="0.3" footer="0.3"/>
  <pageSetup scale="57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view="pageBreakPreview" zoomScale="60" zoomScaleNormal="100" workbookViewId="0">
      <selection activeCell="S2" sqref="S2"/>
    </sheetView>
  </sheetViews>
  <sheetFormatPr defaultColWidth="9.140625" defaultRowHeight="15" x14ac:dyDescent="0.25"/>
  <cols>
    <col min="1" max="1" width="18.7109375" style="5" customWidth="1"/>
    <col min="2" max="2" width="9.140625" style="5"/>
    <col min="3" max="3" width="11" style="13" bestFit="1" customWidth="1"/>
    <col min="4" max="4" width="12.5703125" style="5" bestFit="1" customWidth="1"/>
    <col min="5" max="5" width="13.85546875" style="5" bestFit="1" customWidth="1"/>
    <col min="6" max="6" width="12.5703125" style="5" bestFit="1" customWidth="1"/>
    <col min="7" max="7" width="15.28515625" style="5" bestFit="1" customWidth="1"/>
    <col min="8" max="8" width="13.5703125" style="5" bestFit="1" customWidth="1"/>
    <col min="9" max="9" width="11.5703125" style="5" bestFit="1" customWidth="1"/>
    <col min="10" max="10" width="11" style="5" bestFit="1" customWidth="1"/>
    <col min="11" max="11" width="11.85546875" style="5" bestFit="1" customWidth="1"/>
    <col min="12" max="12" width="2.42578125" style="5" customWidth="1"/>
    <col min="13" max="13" width="12.140625" style="17" bestFit="1" customWidth="1"/>
    <col min="14" max="14" width="2.42578125" style="5" customWidth="1"/>
    <col min="15" max="15" width="9.7109375" style="13" bestFit="1" customWidth="1"/>
    <col min="16" max="16" width="9.5703125" style="5" bestFit="1" customWidth="1"/>
    <col min="17" max="17" width="11.85546875" style="5" bestFit="1" customWidth="1"/>
    <col min="18" max="18" width="2.42578125" style="5" customWidth="1"/>
    <col min="19" max="19" width="14.140625" style="5" bestFit="1" customWidth="1"/>
    <col min="20" max="16384" width="9.140625" style="5"/>
  </cols>
  <sheetData>
    <row r="1" spans="1:20" x14ac:dyDescent="0.25">
      <c r="A1" s="5" t="s">
        <v>467</v>
      </c>
      <c r="M1" s="5"/>
      <c r="S1" s="22" t="s">
        <v>468</v>
      </c>
    </row>
    <row r="2" spans="1:20" x14ac:dyDescent="0.25">
      <c r="A2" s="5" t="s">
        <v>469</v>
      </c>
      <c r="M2" s="5"/>
      <c r="S2" s="22" t="str">
        <f>Cover!A5</f>
        <v>CAUSE NO. 45032-S13</v>
      </c>
    </row>
    <row r="3" spans="1:20" x14ac:dyDescent="0.25">
      <c r="M3" s="5"/>
      <c r="S3" s="22" t="s">
        <v>30</v>
      </c>
    </row>
    <row r="5" spans="1:20" x14ac:dyDescent="0.25">
      <c r="C5" s="159" t="s">
        <v>470</v>
      </c>
      <c r="D5" s="160" t="s">
        <v>471</v>
      </c>
      <c r="F5" s="160"/>
      <c r="H5" s="160" t="s">
        <v>472</v>
      </c>
      <c r="I5" s="161" t="s">
        <v>473</v>
      </c>
      <c r="J5" s="252" t="s">
        <v>474</v>
      </c>
      <c r="K5" s="161" t="s">
        <v>475</v>
      </c>
      <c r="M5" s="160" t="s">
        <v>476</v>
      </c>
      <c r="O5" s="159" t="s">
        <v>477</v>
      </c>
      <c r="P5" s="252" t="s">
        <v>477</v>
      </c>
      <c r="Q5" s="161" t="s">
        <v>478</v>
      </c>
      <c r="R5" s="163"/>
      <c r="S5" s="252" t="s">
        <v>479</v>
      </c>
      <c r="T5" s="252"/>
    </row>
    <row r="6" spans="1:20" x14ac:dyDescent="0.25">
      <c r="A6" s="164"/>
      <c r="B6" s="7" t="s">
        <v>480</v>
      </c>
      <c r="C6" s="165" t="s">
        <v>481</v>
      </c>
      <c r="D6" s="166" t="s">
        <v>482</v>
      </c>
      <c r="E6" s="166" t="s">
        <v>483</v>
      </c>
      <c r="F6" s="166" t="s">
        <v>482</v>
      </c>
      <c r="G6" s="166" t="s">
        <v>484</v>
      </c>
      <c r="H6" s="166" t="s">
        <v>485</v>
      </c>
      <c r="I6" s="167" t="s">
        <v>486</v>
      </c>
      <c r="J6" s="7" t="s">
        <v>486</v>
      </c>
      <c r="K6" s="167" t="s">
        <v>127</v>
      </c>
      <c r="L6" s="164"/>
      <c r="M6" s="166" t="s">
        <v>487</v>
      </c>
      <c r="N6" s="164"/>
      <c r="O6" s="165" t="s">
        <v>482</v>
      </c>
      <c r="P6" s="7" t="s">
        <v>488</v>
      </c>
      <c r="Q6" s="167" t="s">
        <v>127</v>
      </c>
      <c r="R6" s="169"/>
      <c r="S6" s="7" t="s">
        <v>489</v>
      </c>
      <c r="T6" s="7"/>
    </row>
    <row r="7" spans="1:20" x14ac:dyDescent="0.25">
      <c r="M7" s="160" t="s">
        <v>490</v>
      </c>
    </row>
    <row r="8" spans="1:20" x14ac:dyDescent="0.25">
      <c r="A8" s="5" t="s">
        <v>491</v>
      </c>
      <c r="C8" s="159"/>
      <c r="D8" s="160"/>
      <c r="E8" s="160"/>
      <c r="F8" s="160"/>
      <c r="G8" s="160"/>
    </row>
    <row r="9" spans="1:20" x14ac:dyDescent="0.25">
      <c r="B9" s="170" t="s">
        <v>492</v>
      </c>
      <c r="C9" s="159">
        <f>+January!C9+Feb!C10+March!C9+April!C9</f>
        <v>1289</v>
      </c>
      <c r="D9" s="159">
        <f>+January!D9+Feb!D10+March!D9+April!D9</f>
        <v>32791.99</v>
      </c>
      <c r="E9" s="159">
        <f>+January!E9+Feb!E10+March!E9+April!E9</f>
        <v>0</v>
      </c>
      <c r="F9" s="159">
        <f>+January!F9+Feb!F10+March!F9+April!F9</f>
        <v>32791.99</v>
      </c>
      <c r="G9" s="159">
        <f>+January!G9+Feb!G10+March!G9+April!G9</f>
        <v>0</v>
      </c>
      <c r="H9" s="160">
        <f>F9+G9</f>
        <v>32791.99</v>
      </c>
      <c r="I9" s="171">
        <v>5.1402000000000001</v>
      </c>
      <c r="J9" s="13">
        <v>4.9596</v>
      </c>
      <c r="K9" s="172">
        <f>I9-J9</f>
        <v>0.18060000000000009</v>
      </c>
      <c r="M9" s="6">
        <f>ROUND(H9*K9,2)</f>
        <v>5922.23</v>
      </c>
    </row>
    <row r="10" spans="1:20" x14ac:dyDescent="0.25">
      <c r="B10" s="174" t="s">
        <v>493</v>
      </c>
      <c r="C10" s="159">
        <f>+January!C10+Feb!C11+March!C10+April!C10</f>
        <v>5746</v>
      </c>
      <c r="D10" s="159">
        <f>+January!D10+Feb!D11+March!D10+April!D10</f>
        <v>43201.268000000004</v>
      </c>
      <c r="E10" s="159">
        <f>+January!E10+Feb!E11+March!E10+April!E10</f>
        <v>0</v>
      </c>
      <c r="F10" s="159">
        <f>+January!F10+Feb!F11+March!F10+April!F10</f>
        <v>43201.268000000004</v>
      </c>
      <c r="G10" s="159">
        <f>+January!G10+Feb!G11+March!G10+April!G10</f>
        <v>0</v>
      </c>
      <c r="H10" s="160">
        <f>F10+G10</f>
        <v>43201.268000000004</v>
      </c>
      <c r="I10" s="171">
        <v>3.68</v>
      </c>
      <c r="J10" s="13">
        <v>3.5507</v>
      </c>
      <c r="K10" s="172">
        <f>I10-J10</f>
        <v>0.12930000000000019</v>
      </c>
      <c r="M10" s="6">
        <f>ROUND(H10*K10,2)</f>
        <v>5585.92</v>
      </c>
    </row>
    <row r="11" spans="1:20" x14ac:dyDescent="0.25">
      <c r="C11" s="175">
        <f>SUM(C8:C10)</f>
        <v>7035</v>
      </c>
      <c r="D11" s="176">
        <f t="shared" ref="D11:H11" si="0">SUM(D8:D10)</f>
        <v>75993.258000000002</v>
      </c>
      <c r="E11" s="176">
        <f t="shared" si="0"/>
        <v>0</v>
      </c>
      <c r="F11" s="176">
        <f>SUM(F8:F10)</f>
        <v>75993.258000000002</v>
      </c>
      <c r="G11" s="176">
        <f t="shared" si="0"/>
        <v>0</v>
      </c>
      <c r="H11" s="176">
        <f t="shared" si="0"/>
        <v>75993.258000000002</v>
      </c>
      <c r="I11" s="13"/>
      <c r="J11" s="13"/>
      <c r="M11" s="176">
        <f>SUM(M9:M10)</f>
        <v>11508.15</v>
      </c>
      <c r="O11" s="159">
        <f>+January!O11+Feb!O12+March!O11+April!O11</f>
        <v>-4041.9269999999997</v>
      </c>
      <c r="P11" s="178">
        <f>K10</f>
        <v>0.12930000000000019</v>
      </c>
      <c r="Q11" s="90">
        <f>ROUND(O11*P11,2)</f>
        <v>-522.62</v>
      </c>
      <c r="S11" s="23">
        <f>+M11+Q11</f>
        <v>10985.529999999999</v>
      </c>
      <c r="T11" s="185"/>
    </row>
    <row r="12" spans="1:20" x14ac:dyDescent="0.25">
      <c r="C12" s="179"/>
      <c r="D12" s="180"/>
      <c r="E12" s="180"/>
      <c r="F12" s="180"/>
      <c r="G12" s="180"/>
      <c r="H12" s="180"/>
      <c r="I12" s="13"/>
      <c r="J12" s="13"/>
      <c r="M12" s="180"/>
      <c r="P12" s="178"/>
      <c r="S12" s="23"/>
    </row>
    <row r="13" spans="1:20" x14ac:dyDescent="0.25">
      <c r="A13" s="5" t="s">
        <v>494</v>
      </c>
      <c r="C13" s="159">
        <f>+January!C13+Feb!C14+March!C13+April!C13</f>
        <v>0</v>
      </c>
      <c r="D13" s="160">
        <f>+January!D13+Feb!D14+March!D13+April!D13</f>
        <v>0</v>
      </c>
      <c r="E13" s="160">
        <f>+January!E13+Feb!E14+March!E13+April!E13</f>
        <v>0</v>
      </c>
      <c r="F13" s="160">
        <f>+January!F13+Feb!F14+March!F13+April!F13</f>
        <v>0</v>
      </c>
      <c r="G13" s="160">
        <f>+January!G13+Feb!G14+March!G13+April!G13</f>
        <v>0</v>
      </c>
      <c r="I13" s="13"/>
      <c r="J13" s="182"/>
    </row>
    <row r="14" spans="1:20" x14ac:dyDescent="0.25">
      <c r="B14" s="174" t="s">
        <v>492</v>
      </c>
      <c r="C14" s="159">
        <f>+January!C14+Feb!C15+March!C14+April!C14</f>
        <v>155</v>
      </c>
      <c r="D14" s="159">
        <f>+January!D14+Feb!D15+March!D14+April!D14</f>
        <v>5580.2090000000007</v>
      </c>
      <c r="E14" s="159">
        <f>+January!E14+Feb!E15+March!E14+April!E14</f>
        <v>0</v>
      </c>
      <c r="F14" s="159">
        <f>+January!F14+Feb!F15+March!F14+April!F14</f>
        <v>5580.2090000000007</v>
      </c>
      <c r="G14" s="159">
        <f>+January!G14+Feb!G15+March!G14+April!G14</f>
        <v>0</v>
      </c>
      <c r="H14" s="160">
        <f>F14+G14</f>
        <v>5580.2090000000007</v>
      </c>
      <c r="I14" s="171">
        <v>5.1402000000000001</v>
      </c>
      <c r="J14" s="13">
        <v>4.9596</v>
      </c>
      <c r="K14" s="172">
        <f>I14-J14</f>
        <v>0.18060000000000009</v>
      </c>
      <c r="M14" s="6">
        <f>ROUND(H14*K14,2)</f>
        <v>1007.79</v>
      </c>
    </row>
    <row r="15" spans="1:20" x14ac:dyDescent="0.25">
      <c r="B15" s="252" t="s">
        <v>495</v>
      </c>
      <c r="C15" s="159">
        <f>+January!C15+Feb!C16+March!C15+April!C15</f>
        <v>553</v>
      </c>
      <c r="D15" s="159">
        <f>+January!D15+Feb!D16+March!D15+April!D15</f>
        <v>14206.293000000001</v>
      </c>
      <c r="E15" s="159">
        <f>+January!E15+Feb!E16+March!E15+April!E15</f>
        <v>0</v>
      </c>
      <c r="F15" s="159">
        <f>+January!F15+Feb!F16+March!F15+April!F15</f>
        <v>14206.293000000001</v>
      </c>
      <c r="G15" s="159">
        <f>+January!G15+Feb!G16+March!G15+April!G15</f>
        <v>0</v>
      </c>
      <c r="H15" s="160">
        <f>F15+G15</f>
        <v>14206.293000000001</v>
      </c>
      <c r="I15" s="171">
        <v>3.68</v>
      </c>
      <c r="J15" s="13">
        <v>3.5507</v>
      </c>
      <c r="K15" s="172">
        <f>I15-J15</f>
        <v>0.12930000000000019</v>
      </c>
      <c r="M15" s="6">
        <f>ROUND(H15*K15,2)</f>
        <v>1836.87</v>
      </c>
    </row>
    <row r="16" spans="1:20" x14ac:dyDescent="0.25">
      <c r="B16" s="252" t="s">
        <v>496</v>
      </c>
      <c r="C16" s="159">
        <f>+January!C16+Feb!C17+March!C16+April!C16</f>
        <v>468</v>
      </c>
      <c r="D16" s="159">
        <f>+January!D16+Feb!D17+March!D16+April!D16</f>
        <v>36858.865000000005</v>
      </c>
      <c r="E16" s="159">
        <f>+January!E16+Feb!E17+March!E16+April!E16</f>
        <v>0</v>
      </c>
      <c r="F16" s="159">
        <f>+January!F16+Feb!F17+March!F16+April!F16</f>
        <v>36858.865000000005</v>
      </c>
      <c r="G16" s="159">
        <f>+January!G16+Feb!G17+March!G16+April!G16</f>
        <v>0</v>
      </c>
      <c r="H16" s="160">
        <f>F16+G16</f>
        <v>36858.865000000005</v>
      </c>
      <c r="I16" s="171">
        <v>3.2587000000000002</v>
      </c>
      <c r="J16" s="171">
        <v>3.1442000000000001</v>
      </c>
      <c r="K16" s="172">
        <f>I16-J16</f>
        <v>0.11450000000000005</v>
      </c>
      <c r="M16" s="6">
        <f>ROUND(H16*K16,2)</f>
        <v>4220.34</v>
      </c>
    </row>
    <row r="17" spans="3:20" x14ac:dyDescent="0.25">
      <c r="C17" s="175">
        <f>SUM(C14:C16)</f>
        <v>1176</v>
      </c>
      <c r="D17" s="175">
        <f t="shared" ref="D17:G17" si="1">SUM(D14:D16)</f>
        <v>56645.367000000006</v>
      </c>
      <c r="E17" s="175">
        <f t="shared" si="1"/>
        <v>0</v>
      </c>
      <c r="F17" s="175">
        <f>SUM(F14:F16)</f>
        <v>56645.367000000006</v>
      </c>
      <c r="G17" s="175">
        <f t="shared" si="1"/>
        <v>0</v>
      </c>
      <c r="H17" s="175">
        <f>SUM(H14:H16)</f>
        <v>56645.367000000006</v>
      </c>
      <c r="I17" s="13"/>
      <c r="J17" s="182"/>
      <c r="M17" s="175">
        <f>SUM(M14:M16)</f>
        <v>7065</v>
      </c>
      <c r="O17" s="208">
        <f>+January!O17+Feb!O18+March!O17+April!O17</f>
        <v>-2982.7740000000003</v>
      </c>
      <c r="P17" s="209">
        <f>+K16</f>
        <v>0.11450000000000005</v>
      </c>
      <c r="Q17" s="208">
        <f>+January!Q17+Feb!Q18+March!Q17+April!Q17</f>
        <v>-341.53</v>
      </c>
      <c r="S17" s="39">
        <f>+M17+Q17</f>
        <v>6723.47</v>
      </c>
      <c r="T17" s="185"/>
    </row>
    <row r="18" spans="3:20" x14ac:dyDescent="0.25">
      <c r="C18" s="210"/>
      <c r="D18" s="180"/>
      <c r="E18" s="180"/>
      <c r="F18" s="180"/>
      <c r="G18" s="180"/>
      <c r="H18" s="180"/>
      <c r="I18" s="13"/>
      <c r="J18" s="182"/>
      <c r="M18" s="180"/>
      <c r="P18" s="178"/>
      <c r="S18" s="23"/>
    </row>
    <row r="19" spans="3:20" ht="15.75" thickBot="1" x14ac:dyDescent="0.3">
      <c r="C19" s="180"/>
      <c r="F19" s="184">
        <f>+F17+F11</f>
        <v>132638.625</v>
      </c>
      <c r="G19" s="184">
        <f>+G17+G11</f>
        <v>0</v>
      </c>
      <c r="H19" s="184">
        <f>+H17+H11</f>
        <v>132638.625</v>
      </c>
      <c r="M19" s="184">
        <f>+M17+M11</f>
        <v>18573.150000000001</v>
      </c>
      <c r="O19" s="211">
        <f>+O17+O11</f>
        <v>-7024.701</v>
      </c>
      <c r="Q19" s="184">
        <f>+Q17+Q11</f>
        <v>-864.15</v>
      </c>
      <c r="R19" s="181"/>
      <c r="S19" s="184">
        <f>+S17+S11</f>
        <v>17709</v>
      </c>
      <c r="T19" s="252" t="s">
        <v>497</v>
      </c>
    </row>
    <row r="20" spans="3:20" ht="15.75" thickTop="1" x14ac:dyDescent="0.25">
      <c r="C20" s="212"/>
      <c r="F20" s="210"/>
      <c r="H20" s="210"/>
      <c r="M20" s="210"/>
      <c r="O20" s="213"/>
      <c r="Q20" s="210"/>
      <c r="R20" s="91"/>
      <c r="S20" s="210">
        <f>+January!S19+Feb!S20+March!S19+April!S19-S19</f>
        <v>0</v>
      </c>
      <c r="T20" s="214" t="s">
        <v>498</v>
      </c>
    </row>
    <row r="21" spans="3:20" x14ac:dyDescent="0.25">
      <c r="R21" s="91"/>
      <c r="T21" s="186"/>
    </row>
  </sheetData>
  <pageMargins left="0.7" right="0.7" top="0.75" bottom="0.75" header="0.3" footer="0.3"/>
  <pageSetup scale="44" orientation="portrait" r:id="rId1"/>
  <colBreaks count="1" manualBreakCount="1">
    <brk id="1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60" zoomScaleNormal="100" workbookViewId="0">
      <selection activeCell="H2" sqref="H2"/>
    </sheetView>
  </sheetViews>
  <sheetFormatPr defaultColWidth="9.140625" defaultRowHeight="15" x14ac:dyDescent="0.25"/>
  <cols>
    <col min="1" max="1" width="28" style="5" customWidth="1"/>
    <col min="2" max="3" width="12.7109375" style="5" customWidth="1"/>
    <col min="4" max="4" width="11.7109375" style="5" customWidth="1"/>
    <col min="5" max="5" width="9.140625" style="5"/>
    <col min="6" max="6" width="12.7109375" style="12" bestFit="1" customWidth="1"/>
    <col min="7" max="8" width="13.42578125" style="12" customWidth="1"/>
    <col min="9" max="9" width="10.28515625" style="5" customWidth="1"/>
    <col min="10" max="16384" width="9.140625" style="5"/>
  </cols>
  <sheetData>
    <row r="1" spans="1:8" x14ac:dyDescent="0.25">
      <c r="A1" s="191" t="s">
        <v>467</v>
      </c>
      <c r="H1" s="22" t="s">
        <v>468</v>
      </c>
    </row>
    <row r="2" spans="1:8" x14ac:dyDescent="0.25">
      <c r="A2" s="191" t="s">
        <v>499</v>
      </c>
      <c r="H2" s="22" t="str">
        <f>+Cover!$A$5</f>
        <v>CAUSE NO. 45032-S13</v>
      </c>
    </row>
    <row r="3" spans="1:8" x14ac:dyDescent="0.25">
      <c r="H3" s="22" t="s">
        <v>57</v>
      </c>
    </row>
    <row r="4" spans="1:8" ht="18.75" x14ac:dyDescent="0.3">
      <c r="A4" s="192"/>
    </row>
    <row r="5" spans="1:8" x14ac:dyDescent="0.25">
      <c r="D5" s="193" t="s">
        <v>500</v>
      </c>
    </row>
    <row r="6" spans="1:8" x14ac:dyDescent="0.25">
      <c r="B6" s="193" t="s">
        <v>501</v>
      </c>
      <c r="C6" s="193" t="s">
        <v>502</v>
      </c>
      <c r="D6" s="193" t="s">
        <v>503</v>
      </c>
      <c r="E6" s="191"/>
      <c r="F6" s="194"/>
      <c r="G6" s="195" t="s">
        <v>504</v>
      </c>
      <c r="H6" s="195" t="s">
        <v>504</v>
      </c>
    </row>
    <row r="7" spans="1:8" ht="18.75" x14ac:dyDescent="0.3">
      <c r="A7" s="192" t="s">
        <v>505</v>
      </c>
      <c r="B7" s="196" t="s">
        <v>506</v>
      </c>
      <c r="C7" s="196" t="s">
        <v>506</v>
      </c>
      <c r="D7" s="197" t="s">
        <v>506</v>
      </c>
      <c r="E7" s="197" t="s">
        <v>507</v>
      </c>
      <c r="F7" s="194"/>
      <c r="G7" s="198" t="s">
        <v>508</v>
      </c>
      <c r="H7" s="198" t="s">
        <v>509</v>
      </c>
    </row>
    <row r="8" spans="1:8" x14ac:dyDescent="0.25">
      <c r="A8" s="5" t="s">
        <v>491</v>
      </c>
      <c r="B8" s="6">
        <f>+January!H11</f>
        <v>27545.578999999998</v>
      </c>
      <c r="C8" s="6">
        <f>+January!O11</f>
        <v>-4397.7389999999996</v>
      </c>
      <c r="D8" s="6">
        <f>B8+C8</f>
        <v>23147.839999999997</v>
      </c>
      <c r="E8" s="199">
        <f>ROUND(D8/D10,4)</f>
        <v>0.57720000000000005</v>
      </c>
      <c r="G8" s="12">
        <f>ROUND(E8*F10,0)</f>
        <v>22492</v>
      </c>
    </row>
    <row r="9" spans="1:8" x14ac:dyDescent="0.25">
      <c r="A9" s="5" t="s">
        <v>510</v>
      </c>
      <c r="B9" s="6">
        <f>+January!H17</f>
        <v>19967.411</v>
      </c>
      <c r="C9" s="6">
        <f>+January!O17</f>
        <v>-3010.4870000000001</v>
      </c>
      <c r="D9" s="6">
        <f>B9+C9</f>
        <v>16956.923999999999</v>
      </c>
      <c r="E9" s="199">
        <f>ROUND(D9/D10,4)</f>
        <v>0.42280000000000001</v>
      </c>
      <c r="H9" s="12">
        <f>ROUND(E9*F10,0)</f>
        <v>16476</v>
      </c>
    </row>
    <row r="10" spans="1:8" ht="15.75" thickBot="1" x14ac:dyDescent="0.3">
      <c r="A10" s="5" t="s">
        <v>511</v>
      </c>
      <c r="B10" s="200">
        <f>SUM(B8:B9)</f>
        <v>47512.99</v>
      </c>
      <c r="C10" s="200">
        <f>SUM(C8:C9)</f>
        <v>-7408.2259999999997</v>
      </c>
      <c r="D10" s="200">
        <f>SUM(D8:D9)</f>
        <v>40104.763999999996</v>
      </c>
      <c r="E10" s="201">
        <f>SUM(E8:E9)</f>
        <v>1</v>
      </c>
      <c r="F10" s="12">
        <v>38968</v>
      </c>
    </row>
    <row r="11" spans="1:8" ht="15.75" thickTop="1" x14ac:dyDescent="0.25">
      <c r="B11" s="202"/>
      <c r="C11" s="202"/>
      <c r="D11" s="202"/>
      <c r="E11" s="199"/>
    </row>
    <row r="12" spans="1:8" ht="18.75" x14ac:dyDescent="0.3">
      <c r="A12" s="192" t="s">
        <v>512</v>
      </c>
      <c r="B12" s="203"/>
      <c r="C12" s="203"/>
      <c r="D12" s="7"/>
      <c r="E12" s="7"/>
    </row>
    <row r="13" spans="1:8" x14ac:dyDescent="0.25">
      <c r="A13" s="5" t="s">
        <v>491</v>
      </c>
      <c r="B13" s="6">
        <f>+Feb!H12</f>
        <v>18516.148000000001</v>
      </c>
      <c r="C13" s="6">
        <f>+Feb!O12</f>
        <v>3131.33</v>
      </c>
      <c r="D13" s="6">
        <f>B13+C13</f>
        <v>21647.478000000003</v>
      </c>
      <c r="E13" s="199">
        <f>ROUND(D13/D15,4)</f>
        <v>0.58660000000000001</v>
      </c>
      <c r="G13" s="12">
        <f>ROUND(E13*F15,0)</f>
        <v>18976</v>
      </c>
    </row>
    <row r="14" spans="1:8" x14ac:dyDescent="0.25">
      <c r="A14" s="5" t="s">
        <v>510</v>
      </c>
      <c r="B14" s="6">
        <f>+Feb!H18</f>
        <v>13197.178</v>
      </c>
      <c r="C14" s="6">
        <f>+Feb!O18</f>
        <v>2059.9549999999999</v>
      </c>
      <c r="D14" s="6">
        <f>B14+C14</f>
        <v>15257.133</v>
      </c>
      <c r="E14" s="199">
        <f>ROUND(D14/D15,4)</f>
        <v>0.41339999999999999</v>
      </c>
      <c r="G14" s="5"/>
      <c r="H14" s="12">
        <f>ROUND(E14*F15,0)</f>
        <v>13373</v>
      </c>
    </row>
    <row r="15" spans="1:8" ht="15.75" thickBot="1" x14ac:dyDescent="0.3">
      <c r="A15" s="5" t="s">
        <v>511</v>
      </c>
      <c r="B15" s="200">
        <f>SUM(B13:B14)</f>
        <v>31713.326000000001</v>
      </c>
      <c r="C15" s="200">
        <f>SUM(C13:C14)</f>
        <v>5191.2849999999999</v>
      </c>
      <c r="D15" s="200">
        <f>SUM(D13:D14)</f>
        <v>36904.611000000004</v>
      </c>
      <c r="E15" s="201">
        <f>SUM(E13:E14)</f>
        <v>1</v>
      </c>
      <c r="F15" s="12">
        <v>32349</v>
      </c>
    </row>
    <row r="16" spans="1:8" ht="15.75" thickTop="1" x14ac:dyDescent="0.25">
      <c r="B16" s="6"/>
      <c r="C16" s="6"/>
      <c r="D16" s="202"/>
      <c r="E16" s="199"/>
    </row>
    <row r="17" spans="1:8" ht="18.75" x14ac:dyDescent="0.3">
      <c r="A17" s="192" t="s">
        <v>513</v>
      </c>
      <c r="B17" s="203"/>
      <c r="C17" s="203"/>
      <c r="D17" s="7"/>
      <c r="E17" s="7"/>
    </row>
    <row r="18" spans="1:8" x14ac:dyDescent="0.25">
      <c r="A18" s="5" t="s">
        <v>491</v>
      </c>
      <c r="B18" s="6">
        <f>+March!H11</f>
        <v>17938.457000000002</v>
      </c>
      <c r="C18" s="6">
        <f>+March!O11</f>
        <v>-197.62299999999999</v>
      </c>
      <c r="D18" s="6">
        <f>B18+C18</f>
        <v>17740.834000000003</v>
      </c>
      <c r="E18" s="199">
        <f>ROUND(D18/D20,4)</f>
        <v>0.56310000000000004</v>
      </c>
      <c r="G18" s="12">
        <f>ROUND(E18*F20,0)</f>
        <v>14568</v>
      </c>
    </row>
    <row r="19" spans="1:8" x14ac:dyDescent="0.25">
      <c r="A19" s="5" t="s">
        <v>510</v>
      </c>
      <c r="B19" s="6">
        <f>+March!H17</f>
        <v>13998.867999999999</v>
      </c>
      <c r="C19" s="6">
        <f>+March!O17</f>
        <v>-232.178</v>
      </c>
      <c r="D19" s="6">
        <f>B19+C19</f>
        <v>13766.689999999999</v>
      </c>
      <c r="E19" s="199">
        <f>ROUND(D19/D20,4)</f>
        <v>0.43690000000000001</v>
      </c>
      <c r="G19" s="5"/>
      <c r="H19" s="12">
        <f>ROUND(E19*F20,0)</f>
        <v>11303</v>
      </c>
    </row>
    <row r="20" spans="1:8" ht="15.75" thickBot="1" x14ac:dyDescent="0.3">
      <c r="A20" s="5" t="s">
        <v>511</v>
      </c>
      <c r="B20" s="200">
        <f>SUM(B18:B19)</f>
        <v>31937.325000000001</v>
      </c>
      <c r="C20" s="200">
        <f>SUM(C18:C19)</f>
        <v>-429.80099999999999</v>
      </c>
      <c r="D20" s="200">
        <f>SUM(D18:D19)</f>
        <v>31507.524000000001</v>
      </c>
      <c r="E20" s="201">
        <f>SUM(E18:E19)</f>
        <v>1</v>
      </c>
      <c r="F20" s="12">
        <v>25871</v>
      </c>
    </row>
    <row r="21" spans="1:8" ht="15.75" thickTop="1" x14ac:dyDescent="0.25">
      <c r="B21" s="6"/>
      <c r="C21" s="6"/>
      <c r="D21" s="202"/>
      <c r="E21" s="199"/>
    </row>
    <row r="22" spans="1:8" ht="18.75" x14ac:dyDescent="0.3">
      <c r="A22" s="192" t="s">
        <v>514</v>
      </c>
      <c r="B22" s="203"/>
      <c r="C22" s="203"/>
      <c r="D22" s="7"/>
      <c r="E22" s="7"/>
    </row>
    <row r="23" spans="1:8" x14ac:dyDescent="0.25">
      <c r="A23" s="5" t="s">
        <v>491</v>
      </c>
      <c r="B23" s="6">
        <f>+April!H11</f>
        <v>11993.074000000001</v>
      </c>
      <c r="C23" s="6">
        <f>+April!O11</f>
        <v>-2577.895</v>
      </c>
      <c r="D23" s="6">
        <f>B23+C23</f>
        <v>9415.1790000000001</v>
      </c>
      <c r="E23" s="199">
        <f>ROUND(D23/D25,4)</f>
        <v>0.55069999999999997</v>
      </c>
      <c r="G23" s="12">
        <f>ROUND(E23*F25,0)</f>
        <v>6986</v>
      </c>
    </row>
    <row r="24" spans="1:8" x14ac:dyDescent="0.25">
      <c r="A24" s="5" t="s">
        <v>510</v>
      </c>
      <c r="B24" s="6">
        <f>+April!H17</f>
        <v>9481.91</v>
      </c>
      <c r="C24" s="6">
        <f>+April!O17</f>
        <v>-1800.0640000000001</v>
      </c>
      <c r="D24" s="6">
        <f>B24+C24</f>
        <v>7681.8459999999995</v>
      </c>
      <c r="E24" s="199">
        <f>ROUND(D24/D25,4)</f>
        <v>0.44929999999999998</v>
      </c>
      <c r="G24" s="5"/>
      <c r="H24" s="12">
        <f>ROUND(E24*F25,0)</f>
        <v>5699</v>
      </c>
    </row>
    <row r="25" spans="1:8" ht="15.75" thickBot="1" x14ac:dyDescent="0.3">
      <c r="A25" s="5" t="s">
        <v>511</v>
      </c>
      <c r="B25" s="200">
        <f>SUM(B23:B24)</f>
        <v>21474.984</v>
      </c>
      <c r="C25" s="200">
        <f>SUM(C23:C24)</f>
        <v>-4377.9589999999998</v>
      </c>
      <c r="D25" s="200">
        <f>SUM(D23:D24)</f>
        <v>17097.025000000001</v>
      </c>
      <c r="E25" s="201">
        <f>SUM(E23:E24)</f>
        <v>1</v>
      </c>
      <c r="F25" s="12">
        <v>12685</v>
      </c>
    </row>
    <row r="26" spans="1:8" ht="15.75" thickTop="1" x14ac:dyDescent="0.25">
      <c r="B26" s="6"/>
      <c r="C26" s="6"/>
      <c r="D26" s="202"/>
      <c r="E26" s="199"/>
    </row>
    <row r="27" spans="1:8" ht="15.75" thickBot="1" x14ac:dyDescent="0.3">
      <c r="A27" s="5" t="s">
        <v>515</v>
      </c>
      <c r="F27" s="204">
        <f>SUM(F10:F25)</f>
        <v>109873</v>
      </c>
      <c r="G27" s="204">
        <f>SUM(G8:G26)</f>
        <v>63022</v>
      </c>
      <c r="H27" s="204">
        <f>SUM(H8:H26)</f>
        <v>46851</v>
      </c>
    </row>
    <row r="28" spans="1:8" ht="15.75" thickTop="1" x14ac:dyDescent="0.25"/>
    <row r="29" spans="1:8" ht="15.75" thickBot="1" x14ac:dyDescent="0.3">
      <c r="A29" s="5" t="s">
        <v>516</v>
      </c>
      <c r="F29" s="205">
        <f>SUM(G29:H29)</f>
        <v>17709</v>
      </c>
      <c r="G29" s="205">
        <f>+Summary!S11</f>
        <v>10985.529999999999</v>
      </c>
      <c r="H29" s="205">
        <f>+Summary!S17</f>
        <v>6723.47</v>
      </c>
    </row>
    <row r="30" spans="1:8" ht="15.75" thickTop="1" x14ac:dyDescent="0.25"/>
    <row r="31" spans="1:8" s="192" customFormat="1" ht="19.5" thickBot="1" x14ac:dyDescent="0.35">
      <c r="A31" s="192" t="s">
        <v>517</v>
      </c>
      <c r="F31" s="206"/>
      <c r="G31" s="207">
        <f>ROUND(G29/G27,4)</f>
        <v>0.17430000000000001</v>
      </c>
      <c r="H31" s="207">
        <f>ROUND(H29/H27,4)</f>
        <v>0.14349999999999999</v>
      </c>
    </row>
    <row r="32" spans="1:8" ht="15.75" thickTop="1" x14ac:dyDescent="0.25"/>
  </sheetData>
  <pageMargins left="0.7" right="0.7" top="0.75" bottom="0.75" header="0.3" footer="0.3"/>
  <pageSetup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view="pageBreakPreview" zoomScale="60" zoomScaleNormal="100" workbookViewId="0">
      <selection activeCell="S2" sqref="S2"/>
    </sheetView>
  </sheetViews>
  <sheetFormatPr defaultColWidth="8.85546875" defaultRowHeight="15" x14ac:dyDescent="0.25"/>
  <cols>
    <col min="1" max="1" width="18.140625" style="5" customWidth="1"/>
    <col min="2" max="2" width="8.85546875" style="5"/>
    <col min="3" max="3" width="11" style="11" bestFit="1" customWidth="1"/>
    <col min="4" max="4" width="11.5703125" style="5" bestFit="1" customWidth="1"/>
    <col min="5" max="5" width="13.85546875" style="5" bestFit="1" customWidth="1"/>
    <col min="6" max="6" width="11.5703125" style="5" bestFit="1" customWidth="1"/>
    <col min="7" max="7" width="15.28515625" style="5" bestFit="1" customWidth="1"/>
    <col min="8" max="8" width="13.5703125" style="5" bestFit="1" customWidth="1"/>
    <col min="9" max="9" width="11.5703125" style="5" bestFit="1" customWidth="1"/>
    <col min="10" max="10" width="11" style="5" bestFit="1" customWidth="1"/>
    <col min="11" max="11" width="11.85546875" style="5" bestFit="1" customWidth="1"/>
    <col min="12" max="12" width="2.42578125" style="5" customWidth="1"/>
    <col min="13" max="13" width="13.28515625" style="5" bestFit="1" customWidth="1"/>
    <col min="14" max="14" width="2.42578125" style="5" customWidth="1"/>
    <col min="15" max="15" width="8.85546875" style="5"/>
    <col min="16" max="16" width="9.5703125" style="5" bestFit="1" customWidth="1"/>
    <col min="17" max="17" width="11.85546875" style="5" bestFit="1" customWidth="1"/>
    <col min="18" max="18" width="2.42578125" style="5" customWidth="1"/>
    <col min="19" max="19" width="14.140625" style="5" bestFit="1" customWidth="1"/>
    <col min="20" max="16384" width="8.85546875" style="5"/>
  </cols>
  <sheetData>
    <row r="1" spans="1:20" x14ac:dyDescent="0.25">
      <c r="A1" s="5" t="s">
        <v>467</v>
      </c>
      <c r="B1" s="252"/>
      <c r="O1" s="13"/>
      <c r="S1" s="22" t="s">
        <v>468</v>
      </c>
    </row>
    <row r="2" spans="1:20" x14ac:dyDescent="0.25">
      <c r="A2" s="157" t="s">
        <v>518</v>
      </c>
      <c r="B2" s="252"/>
      <c r="O2" s="13"/>
      <c r="S2" s="22" t="str">
        <f>+Cover!$A$5</f>
        <v>CAUSE NO. 45032-S13</v>
      </c>
    </row>
    <row r="3" spans="1:20" x14ac:dyDescent="0.25">
      <c r="B3" s="252"/>
      <c r="O3" s="13"/>
      <c r="S3" s="22" t="s">
        <v>98</v>
      </c>
    </row>
    <row r="5" spans="1:20" x14ac:dyDescent="0.25">
      <c r="C5" s="187" t="s">
        <v>470</v>
      </c>
      <c r="D5" s="160" t="s">
        <v>471</v>
      </c>
      <c r="F5" s="160"/>
      <c r="H5" s="160" t="s">
        <v>519</v>
      </c>
      <c r="I5" s="161" t="s">
        <v>473</v>
      </c>
      <c r="J5" s="252" t="s">
        <v>474</v>
      </c>
      <c r="K5" s="161" t="s">
        <v>475</v>
      </c>
      <c r="M5" s="162" t="s">
        <v>476</v>
      </c>
      <c r="O5" s="160" t="s">
        <v>477</v>
      </c>
      <c r="P5" s="252" t="s">
        <v>477</v>
      </c>
      <c r="Q5" s="161" t="s">
        <v>478</v>
      </c>
      <c r="R5" s="163"/>
      <c r="S5" s="252" t="s">
        <v>479</v>
      </c>
      <c r="T5" s="252"/>
    </row>
    <row r="6" spans="1:20" x14ac:dyDescent="0.25">
      <c r="A6" s="164"/>
      <c r="B6" s="7" t="s">
        <v>480</v>
      </c>
      <c r="C6" s="188" t="s">
        <v>481</v>
      </c>
      <c r="D6" s="166" t="s">
        <v>482</v>
      </c>
      <c r="E6" s="166" t="s">
        <v>483</v>
      </c>
      <c r="F6" s="166" t="s">
        <v>482</v>
      </c>
      <c r="G6" s="166" t="s">
        <v>484</v>
      </c>
      <c r="H6" s="166" t="s">
        <v>485</v>
      </c>
      <c r="I6" s="167" t="s">
        <v>486</v>
      </c>
      <c r="J6" s="7" t="s">
        <v>486</v>
      </c>
      <c r="K6" s="167" t="s">
        <v>127</v>
      </c>
      <c r="L6" s="164"/>
      <c r="M6" s="168" t="s">
        <v>487</v>
      </c>
      <c r="N6" s="164"/>
      <c r="O6" s="166" t="s">
        <v>482</v>
      </c>
      <c r="P6" s="7" t="s">
        <v>488</v>
      </c>
      <c r="Q6" s="167" t="s">
        <v>127</v>
      </c>
      <c r="R6" s="169"/>
      <c r="S6" s="7" t="s">
        <v>489</v>
      </c>
      <c r="T6" s="7"/>
    </row>
    <row r="7" spans="1:20" x14ac:dyDescent="0.25">
      <c r="M7" s="162" t="s">
        <v>490</v>
      </c>
    </row>
    <row r="8" spans="1:20" x14ac:dyDescent="0.25">
      <c r="A8" s="5" t="s">
        <v>491</v>
      </c>
      <c r="C8" s="187">
        <v>0</v>
      </c>
    </row>
    <row r="9" spans="1:20" x14ac:dyDescent="0.25">
      <c r="B9" s="170" t="s">
        <v>492</v>
      </c>
      <c r="C9" s="187">
        <v>126</v>
      </c>
      <c r="D9" s="160">
        <v>8543.9719999999998</v>
      </c>
      <c r="F9" s="160">
        <f>SUM(D9:E9)</f>
        <v>8543.9719999999998</v>
      </c>
      <c r="G9" s="160">
        <v>0</v>
      </c>
      <c r="H9" s="160">
        <f>F9+G9</f>
        <v>8543.9719999999998</v>
      </c>
      <c r="I9" s="171">
        <v>5.1402000000000001</v>
      </c>
      <c r="J9" s="13">
        <v>4.9596</v>
      </c>
      <c r="K9" s="172">
        <f>I9-J9</f>
        <v>0.18060000000000009</v>
      </c>
      <c r="M9" s="173">
        <f>ROUND(H9*K9,2)</f>
        <v>1543.04</v>
      </c>
    </row>
    <row r="10" spans="1:20" x14ac:dyDescent="0.25">
      <c r="B10" s="174" t="s">
        <v>493</v>
      </c>
      <c r="C10" s="187">
        <v>1624</v>
      </c>
      <c r="D10" s="160">
        <v>19001.607</v>
      </c>
      <c r="F10" s="160">
        <f>SUM(D10:E10)</f>
        <v>19001.607</v>
      </c>
      <c r="G10" s="160">
        <v>0</v>
      </c>
      <c r="H10" s="160">
        <f>F10+G10</f>
        <v>19001.607</v>
      </c>
      <c r="I10" s="171">
        <v>3.68</v>
      </c>
      <c r="J10" s="13">
        <v>3.5507</v>
      </c>
      <c r="K10" s="172">
        <f>I10-J10</f>
        <v>0.12930000000000019</v>
      </c>
      <c r="M10" s="173">
        <f>ROUND(H10*K10,2)</f>
        <v>2456.91</v>
      </c>
    </row>
    <row r="11" spans="1:20" x14ac:dyDescent="0.25">
      <c r="C11" s="189">
        <f>SUM(C8:C10)</f>
        <v>1750</v>
      </c>
      <c r="D11" s="176">
        <f t="shared" ref="D11:H11" si="0">SUM(D8:D10)</f>
        <v>27545.578999999998</v>
      </c>
      <c r="E11" s="176">
        <f t="shared" si="0"/>
        <v>0</v>
      </c>
      <c r="F11" s="176">
        <f t="shared" si="0"/>
        <v>27545.578999999998</v>
      </c>
      <c r="G11" s="176">
        <f t="shared" si="0"/>
        <v>0</v>
      </c>
      <c r="H11" s="176">
        <f t="shared" si="0"/>
        <v>27545.578999999998</v>
      </c>
      <c r="I11" s="13"/>
      <c r="J11" s="13"/>
      <c r="M11" s="177">
        <f>SUM(M9:M10)</f>
        <v>3999.95</v>
      </c>
      <c r="O11" s="12">
        <v>-4397.7389999999996</v>
      </c>
      <c r="P11" s="178">
        <f>K10</f>
        <v>0.12930000000000019</v>
      </c>
      <c r="Q11" s="90">
        <f>ROUND(O11*P11,2)</f>
        <v>-568.63</v>
      </c>
      <c r="S11" s="23">
        <f>+M11+Q11</f>
        <v>3431.3199999999997</v>
      </c>
      <c r="T11" s="185"/>
    </row>
    <row r="12" spans="1:20" x14ac:dyDescent="0.25">
      <c r="C12" s="190"/>
      <c r="D12" s="180"/>
      <c r="E12" s="180"/>
      <c r="F12" s="180"/>
      <c r="G12" s="180"/>
      <c r="H12" s="180"/>
      <c r="I12" s="13"/>
      <c r="J12" s="13"/>
      <c r="M12" s="181"/>
      <c r="O12" s="13"/>
      <c r="P12" s="178"/>
      <c r="S12" s="23"/>
    </row>
    <row r="13" spans="1:20" x14ac:dyDescent="0.25">
      <c r="A13" s="5" t="s">
        <v>494</v>
      </c>
      <c r="C13" s="187">
        <v>0</v>
      </c>
      <c r="I13" s="13"/>
      <c r="J13" s="182"/>
      <c r="O13" s="13"/>
    </row>
    <row r="14" spans="1:20" x14ac:dyDescent="0.25">
      <c r="B14" s="174" t="s">
        <v>492</v>
      </c>
      <c r="C14" s="187">
        <v>18</v>
      </c>
      <c r="D14" s="160">
        <v>1442.4280000000001</v>
      </c>
      <c r="F14" s="160">
        <f>SUM(D14:E14)</f>
        <v>1442.4280000000001</v>
      </c>
      <c r="G14" s="160">
        <v>0</v>
      </c>
      <c r="H14" s="160">
        <f>F14+G14</f>
        <v>1442.4280000000001</v>
      </c>
      <c r="I14" s="171">
        <v>5.1402000000000001</v>
      </c>
      <c r="J14" s="13">
        <v>4.9596</v>
      </c>
      <c r="K14" s="172">
        <f>I14-J14</f>
        <v>0.18060000000000009</v>
      </c>
      <c r="M14" s="173">
        <f>ROUND(H14*K14,2)</f>
        <v>260.5</v>
      </c>
      <c r="O14" s="13"/>
    </row>
    <row r="15" spans="1:20" x14ac:dyDescent="0.25">
      <c r="B15" s="252" t="s">
        <v>495</v>
      </c>
      <c r="C15" s="187">
        <v>102</v>
      </c>
      <c r="D15" s="160">
        <v>4620.2640000000001</v>
      </c>
      <c r="F15" s="160">
        <f>SUM(D15:E15)</f>
        <v>4620.2640000000001</v>
      </c>
      <c r="G15" s="160">
        <v>0</v>
      </c>
      <c r="H15" s="160">
        <f>F15+G15</f>
        <v>4620.2640000000001</v>
      </c>
      <c r="I15" s="171">
        <v>3.68</v>
      </c>
      <c r="J15" s="13">
        <v>3.5507</v>
      </c>
      <c r="K15" s="172">
        <f>I15-J15</f>
        <v>0.12930000000000019</v>
      </c>
      <c r="M15" s="173">
        <f>ROUND(H15*K15,2)</f>
        <v>597.4</v>
      </c>
      <c r="O15" s="13"/>
    </row>
    <row r="16" spans="1:20" x14ac:dyDescent="0.25">
      <c r="B16" s="252" t="s">
        <v>496</v>
      </c>
      <c r="C16" s="187">
        <v>175</v>
      </c>
      <c r="D16" s="160">
        <v>13904.718999999999</v>
      </c>
      <c r="F16" s="160">
        <f>SUM(D16:E16)</f>
        <v>13904.718999999999</v>
      </c>
      <c r="G16" s="160">
        <v>0</v>
      </c>
      <c r="H16" s="160">
        <f>F16+G16</f>
        <v>13904.718999999999</v>
      </c>
      <c r="I16" s="171">
        <v>3.2587000000000002</v>
      </c>
      <c r="J16" s="171">
        <v>3.1442000000000001</v>
      </c>
      <c r="K16" s="172">
        <f>I16-J16</f>
        <v>0.11450000000000005</v>
      </c>
      <c r="M16" s="173">
        <f>ROUND(H16*K16,2)</f>
        <v>1592.09</v>
      </c>
      <c r="O16" s="13"/>
    </row>
    <row r="17" spans="3:20" x14ac:dyDescent="0.25">
      <c r="C17" s="189">
        <f>SUM(C14:C16)</f>
        <v>295</v>
      </c>
      <c r="D17" s="176">
        <f t="shared" ref="D17:E17" si="1">SUM(D14:D16)</f>
        <v>19967.411</v>
      </c>
      <c r="E17" s="176">
        <f t="shared" si="1"/>
        <v>0</v>
      </c>
      <c r="F17" s="176">
        <f>SUM(F14:F16)</f>
        <v>19967.411</v>
      </c>
      <c r="G17" s="176">
        <f t="shared" ref="G17:H17" si="2">SUM(G14:G16)</f>
        <v>0</v>
      </c>
      <c r="H17" s="176">
        <f t="shared" si="2"/>
        <v>19967.411</v>
      </c>
      <c r="I17" s="13"/>
      <c r="J17" s="182"/>
      <c r="M17" s="177">
        <f>SUM(M14:M16)</f>
        <v>2449.9899999999998</v>
      </c>
      <c r="O17" s="183">
        <v>-3010.4870000000001</v>
      </c>
      <c r="P17" s="178">
        <f>K16</f>
        <v>0.11450000000000005</v>
      </c>
      <c r="Q17" s="92">
        <f>ROUND(O17*P17,2)</f>
        <v>-344.7</v>
      </c>
      <c r="S17" s="39">
        <f>+M17+Q17</f>
        <v>2105.29</v>
      </c>
      <c r="T17" s="185"/>
    </row>
    <row r="18" spans="3:20" x14ac:dyDescent="0.25">
      <c r="C18" s="190"/>
      <c r="D18" s="180"/>
      <c r="E18" s="180"/>
      <c r="F18" s="180"/>
      <c r="G18" s="180"/>
      <c r="H18" s="180"/>
      <c r="I18" s="13"/>
      <c r="J18" s="182"/>
      <c r="M18" s="181"/>
      <c r="O18" s="13"/>
      <c r="P18" s="178"/>
      <c r="S18" s="23"/>
    </row>
    <row r="19" spans="3:20" ht="15.75" thickBot="1" x14ac:dyDescent="0.3">
      <c r="C19" s="180"/>
      <c r="F19" s="184">
        <f>+F17+F11</f>
        <v>47512.99</v>
      </c>
      <c r="G19" s="184">
        <f>+G17+G11</f>
        <v>0</v>
      </c>
      <c r="H19" s="184">
        <f>+H17+H11</f>
        <v>47512.99</v>
      </c>
      <c r="M19" s="184">
        <f>+M17+M11</f>
        <v>6449.94</v>
      </c>
      <c r="O19" s="184">
        <f>+O17+O11</f>
        <v>-7408.2259999999997</v>
      </c>
      <c r="Q19" s="184">
        <f>+Q17+Q11</f>
        <v>-913.32999999999993</v>
      </c>
      <c r="R19" s="181"/>
      <c r="S19" s="184">
        <f>+S17+S11</f>
        <v>5536.61</v>
      </c>
      <c r="T19" s="252" t="s">
        <v>497</v>
      </c>
    </row>
    <row r="20" spans="3:20" ht="15.75" thickTop="1" x14ac:dyDescent="0.25">
      <c r="R20" s="91"/>
    </row>
    <row r="21" spans="3:20" x14ac:dyDescent="0.25">
      <c r="R21" s="91"/>
      <c r="T21" s="186"/>
    </row>
  </sheetData>
  <pageMargins left="0.7" right="0.7" top="0.75" bottom="0.75" header="0.3" footer="0.3"/>
  <pageSetup scale="44" orientation="portrait" horizontalDpi="300" verticalDpi="300" r:id="rId1"/>
  <colBreaks count="1" manualBreakCount="1">
    <brk id="1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view="pageBreakPreview" zoomScale="60" zoomScaleNormal="100" workbookViewId="0">
      <selection activeCell="S2" sqref="S2"/>
    </sheetView>
  </sheetViews>
  <sheetFormatPr defaultColWidth="9.140625" defaultRowHeight="15" x14ac:dyDescent="0.25"/>
  <cols>
    <col min="1" max="1" width="18" style="5" customWidth="1"/>
    <col min="2" max="2" width="9.140625" style="5"/>
    <col min="3" max="3" width="9.140625" style="13"/>
    <col min="4" max="4" width="11.5703125" style="5" bestFit="1" customWidth="1"/>
    <col min="5" max="5" width="13.85546875" style="5" bestFit="1" customWidth="1"/>
    <col min="6" max="6" width="11.5703125" style="5" bestFit="1" customWidth="1"/>
    <col min="7" max="7" width="15.28515625" style="5" bestFit="1" customWidth="1"/>
    <col min="8" max="8" width="13.5703125" style="5" bestFit="1" customWidth="1"/>
    <col min="9" max="9" width="13.7109375" style="5" bestFit="1" customWidth="1"/>
    <col min="10" max="10" width="13.28515625" style="5" bestFit="1" customWidth="1"/>
    <col min="11" max="11" width="12.7109375" style="5" bestFit="1" customWidth="1"/>
    <col min="12" max="12" width="2.42578125" style="5" customWidth="1"/>
    <col min="13" max="13" width="11.42578125" style="5" bestFit="1" customWidth="1"/>
    <col min="14" max="14" width="2.42578125" style="5" customWidth="1"/>
    <col min="15" max="15" width="9.140625" style="5"/>
    <col min="16" max="16" width="9.5703125" style="5" bestFit="1" customWidth="1"/>
    <col min="17" max="17" width="11.85546875" style="5" bestFit="1" customWidth="1"/>
    <col min="18" max="18" width="2.42578125" style="5" customWidth="1"/>
    <col min="19" max="19" width="14.140625" style="5" bestFit="1" customWidth="1"/>
    <col min="20" max="16384" width="9.140625" style="5"/>
  </cols>
  <sheetData>
    <row r="1" spans="1:20" x14ac:dyDescent="0.25">
      <c r="A1" s="5" t="s">
        <v>467</v>
      </c>
      <c r="O1" s="13"/>
      <c r="S1" s="22" t="s">
        <v>468</v>
      </c>
    </row>
    <row r="2" spans="1:20" x14ac:dyDescent="0.25">
      <c r="A2" s="157" t="s">
        <v>520</v>
      </c>
      <c r="O2" s="13"/>
      <c r="S2" s="22" t="str">
        <f>+Cover!$A$5</f>
        <v>CAUSE NO. 45032-S13</v>
      </c>
    </row>
    <row r="3" spans="1:20" x14ac:dyDescent="0.25">
      <c r="O3" s="13"/>
      <c r="S3" s="22" t="s">
        <v>99</v>
      </c>
    </row>
    <row r="4" spans="1:20" x14ac:dyDescent="0.25">
      <c r="A4" s="157"/>
    </row>
    <row r="6" spans="1:20" x14ac:dyDescent="0.25">
      <c r="C6" s="159" t="s">
        <v>470</v>
      </c>
      <c r="D6" s="160" t="s">
        <v>471</v>
      </c>
      <c r="F6" s="160"/>
      <c r="H6" s="160" t="s">
        <v>519</v>
      </c>
      <c r="I6" s="161" t="s">
        <v>473</v>
      </c>
      <c r="J6" s="252" t="s">
        <v>474</v>
      </c>
      <c r="K6" s="161" t="s">
        <v>475</v>
      </c>
      <c r="M6" s="162" t="s">
        <v>476</v>
      </c>
      <c r="O6" s="160" t="s">
        <v>477</v>
      </c>
      <c r="P6" s="252" t="s">
        <v>477</v>
      </c>
      <c r="Q6" s="161" t="s">
        <v>478</v>
      </c>
      <c r="R6" s="163"/>
      <c r="S6" s="252" t="s">
        <v>479</v>
      </c>
      <c r="T6" s="252"/>
    </row>
    <row r="7" spans="1:20" x14ac:dyDescent="0.25">
      <c r="A7" s="164"/>
      <c r="B7" s="7" t="s">
        <v>480</v>
      </c>
      <c r="C7" s="165" t="s">
        <v>481</v>
      </c>
      <c r="D7" s="166" t="s">
        <v>482</v>
      </c>
      <c r="E7" s="166" t="s">
        <v>483</v>
      </c>
      <c r="F7" s="166" t="s">
        <v>521</v>
      </c>
      <c r="G7" s="166" t="s">
        <v>484</v>
      </c>
      <c r="H7" s="166" t="s">
        <v>485</v>
      </c>
      <c r="I7" s="167" t="s">
        <v>486</v>
      </c>
      <c r="J7" s="7" t="s">
        <v>486</v>
      </c>
      <c r="K7" s="167" t="s">
        <v>127</v>
      </c>
      <c r="L7" s="164"/>
      <c r="M7" s="168" t="s">
        <v>487</v>
      </c>
      <c r="N7" s="164"/>
      <c r="O7" s="166" t="s">
        <v>482</v>
      </c>
      <c r="P7" s="7" t="s">
        <v>488</v>
      </c>
      <c r="Q7" s="167" t="s">
        <v>127</v>
      </c>
      <c r="R7" s="169"/>
      <c r="S7" s="7" t="s">
        <v>489</v>
      </c>
      <c r="T7" s="7"/>
    </row>
    <row r="8" spans="1:20" x14ac:dyDescent="0.25">
      <c r="M8" s="162" t="s">
        <v>490</v>
      </c>
    </row>
    <row r="9" spans="1:20" x14ac:dyDescent="0.25">
      <c r="A9" s="5" t="s">
        <v>491</v>
      </c>
      <c r="C9" s="159">
        <v>0</v>
      </c>
    </row>
    <row r="10" spans="1:20" x14ac:dyDescent="0.25">
      <c r="B10" s="170" t="s">
        <v>492</v>
      </c>
      <c r="C10" s="159">
        <v>242</v>
      </c>
      <c r="D10" s="160">
        <v>8353.1409999999996</v>
      </c>
      <c r="F10" s="160">
        <f>+D10+E10</f>
        <v>8353.1409999999996</v>
      </c>
      <c r="G10" s="160">
        <v>0</v>
      </c>
      <c r="H10" s="160">
        <f>F10+G10</f>
        <v>8353.1409999999996</v>
      </c>
      <c r="I10" s="171">
        <v>5.1402000000000001</v>
      </c>
      <c r="J10" s="13">
        <v>4.9596</v>
      </c>
      <c r="K10" s="172">
        <f>I10-J10</f>
        <v>0.18060000000000009</v>
      </c>
      <c r="M10" s="173">
        <f>ROUND(H10*K10,2)</f>
        <v>1508.58</v>
      </c>
    </row>
    <row r="11" spans="1:20" x14ac:dyDescent="0.25">
      <c r="B11" s="174" t="s">
        <v>493</v>
      </c>
      <c r="C11" s="159">
        <v>1516</v>
      </c>
      <c r="D11" s="160">
        <v>10163.007</v>
      </c>
      <c r="F11" s="160">
        <f>+D11+E11</f>
        <v>10163.007</v>
      </c>
      <c r="G11" s="160">
        <v>0</v>
      </c>
      <c r="H11" s="160">
        <f>F11+G11</f>
        <v>10163.007</v>
      </c>
      <c r="I11" s="171">
        <v>3.68</v>
      </c>
      <c r="J11" s="13">
        <v>3.5507</v>
      </c>
      <c r="K11" s="172">
        <f>I11-J11</f>
        <v>0.12930000000000019</v>
      </c>
      <c r="M11" s="173">
        <f>ROUND(H11*K11,2)</f>
        <v>1314.08</v>
      </c>
    </row>
    <row r="12" spans="1:20" x14ac:dyDescent="0.25">
      <c r="C12" s="175">
        <f>SUM(C9:C11)</f>
        <v>1758</v>
      </c>
      <c r="D12" s="176">
        <f t="shared" ref="D12:H12" si="0">SUM(D9:D11)</f>
        <v>18516.148000000001</v>
      </c>
      <c r="E12" s="176">
        <f t="shared" si="0"/>
        <v>0</v>
      </c>
      <c r="F12" s="176">
        <f t="shared" si="0"/>
        <v>18516.148000000001</v>
      </c>
      <c r="G12" s="176">
        <f t="shared" si="0"/>
        <v>0</v>
      </c>
      <c r="H12" s="176">
        <f t="shared" si="0"/>
        <v>18516.148000000001</v>
      </c>
      <c r="I12" s="13"/>
      <c r="J12" s="13"/>
      <c r="M12" s="177">
        <f>SUM(M10:M11)</f>
        <v>2822.66</v>
      </c>
      <c r="O12" s="12">
        <v>3131.33</v>
      </c>
      <c r="P12" s="178">
        <f>K11</f>
        <v>0.12930000000000019</v>
      </c>
      <c r="Q12" s="90">
        <f>ROUND(O12*P12,2)</f>
        <v>404.88</v>
      </c>
      <c r="S12" s="23">
        <f>+M12+Q12</f>
        <v>3227.54</v>
      </c>
      <c r="T12" s="185"/>
    </row>
    <row r="13" spans="1:20" x14ac:dyDescent="0.25">
      <c r="C13" s="179"/>
      <c r="D13" s="180"/>
      <c r="E13" s="180"/>
      <c r="F13" s="180"/>
      <c r="G13" s="180"/>
      <c r="H13" s="180"/>
      <c r="I13" s="13"/>
      <c r="J13" s="13"/>
      <c r="M13" s="181"/>
      <c r="O13" s="13"/>
      <c r="P13" s="178"/>
      <c r="S13" s="23"/>
    </row>
    <row r="14" spans="1:20" x14ac:dyDescent="0.25">
      <c r="A14" s="5" t="s">
        <v>494</v>
      </c>
      <c r="C14" s="159"/>
      <c r="I14" s="13"/>
      <c r="J14" s="182"/>
      <c r="O14" s="13"/>
    </row>
    <row r="15" spans="1:20" x14ac:dyDescent="0.25">
      <c r="B15" s="174" t="s">
        <v>492</v>
      </c>
      <c r="C15" s="159">
        <v>29</v>
      </c>
      <c r="D15" s="160">
        <v>1416.943</v>
      </c>
      <c r="F15" s="160">
        <f>+D15+E15</f>
        <v>1416.943</v>
      </c>
      <c r="G15" s="160">
        <v>0</v>
      </c>
      <c r="H15" s="160">
        <f>F15+G15</f>
        <v>1416.943</v>
      </c>
      <c r="I15" s="171">
        <v>5.1402000000000001</v>
      </c>
      <c r="J15" s="13">
        <v>4.9596</v>
      </c>
      <c r="K15" s="172">
        <f>I15-J15</f>
        <v>0.18060000000000009</v>
      </c>
      <c r="M15" s="173">
        <f>ROUND(H15*K15,2)</f>
        <v>255.9</v>
      </c>
      <c r="O15" s="13"/>
    </row>
    <row r="16" spans="1:20" x14ac:dyDescent="0.25">
      <c r="B16" s="252" t="s">
        <v>495</v>
      </c>
      <c r="C16" s="159">
        <v>150</v>
      </c>
      <c r="D16" s="160">
        <v>3685.3829999999998</v>
      </c>
      <c r="F16" s="160">
        <f>+D16+E16</f>
        <v>3685.3829999999998</v>
      </c>
      <c r="G16" s="160">
        <v>0</v>
      </c>
      <c r="H16" s="160">
        <f>F16+G16</f>
        <v>3685.3829999999998</v>
      </c>
      <c r="I16" s="171">
        <v>3.68</v>
      </c>
      <c r="J16" s="13">
        <v>3.5507</v>
      </c>
      <c r="K16" s="172">
        <f>I16-J16</f>
        <v>0.12930000000000019</v>
      </c>
      <c r="M16" s="173">
        <f>ROUND(H16*K16,2)</f>
        <v>476.52</v>
      </c>
      <c r="O16" s="13"/>
    </row>
    <row r="17" spans="2:20" x14ac:dyDescent="0.25">
      <c r="B17" s="252" t="s">
        <v>496</v>
      </c>
      <c r="C17" s="159">
        <v>115</v>
      </c>
      <c r="D17" s="160">
        <v>8094.8519999999999</v>
      </c>
      <c r="F17" s="160">
        <f>+D17+E17</f>
        <v>8094.8519999999999</v>
      </c>
      <c r="G17" s="160">
        <v>0</v>
      </c>
      <c r="H17" s="160">
        <f>F17+G17</f>
        <v>8094.8519999999999</v>
      </c>
      <c r="I17" s="171">
        <v>3.2587000000000002</v>
      </c>
      <c r="J17" s="171">
        <v>3.1442000000000001</v>
      </c>
      <c r="K17" s="172">
        <f>I17-J17</f>
        <v>0.11450000000000005</v>
      </c>
      <c r="M17" s="173">
        <f>ROUND(H17*K17,2)</f>
        <v>926.86</v>
      </c>
      <c r="O17" s="13"/>
    </row>
    <row r="18" spans="2:20" x14ac:dyDescent="0.25">
      <c r="C18" s="175">
        <f>SUM(C15:C17)</f>
        <v>294</v>
      </c>
      <c r="D18" s="176">
        <f t="shared" ref="D18:H18" si="1">SUM(D15:D17)</f>
        <v>13197.178</v>
      </c>
      <c r="E18" s="176">
        <f t="shared" si="1"/>
        <v>0</v>
      </c>
      <c r="F18" s="176">
        <f t="shared" si="1"/>
        <v>13197.178</v>
      </c>
      <c r="G18" s="176">
        <f t="shared" si="1"/>
        <v>0</v>
      </c>
      <c r="H18" s="176">
        <f t="shared" si="1"/>
        <v>13197.178</v>
      </c>
      <c r="I18" s="13"/>
      <c r="J18" s="182"/>
      <c r="M18" s="177">
        <f>SUM(M15:M17)</f>
        <v>1659.28</v>
      </c>
      <c r="O18" s="183">
        <v>2059.9549999999999</v>
      </c>
      <c r="P18" s="178">
        <f>K17</f>
        <v>0.11450000000000005</v>
      </c>
      <c r="Q18" s="92">
        <f>ROUND(O18*P18,2)</f>
        <v>235.86</v>
      </c>
      <c r="S18" s="39">
        <f>+M18+Q18</f>
        <v>1895.1399999999999</v>
      </c>
      <c r="T18" s="185"/>
    </row>
    <row r="19" spans="2:20" x14ac:dyDescent="0.25">
      <c r="C19" s="179"/>
      <c r="D19" s="180"/>
      <c r="E19" s="180"/>
      <c r="F19" s="180"/>
      <c r="G19" s="180"/>
      <c r="H19" s="180"/>
      <c r="I19" s="13"/>
      <c r="J19" s="182"/>
      <c r="M19" s="181"/>
      <c r="O19" s="13"/>
      <c r="P19" s="178"/>
      <c r="S19" s="23"/>
    </row>
    <row r="20" spans="2:20" ht="15.75" thickBot="1" x14ac:dyDescent="0.3">
      <c r="C20" s="180"/>
      <c r="F20" s="184">
        <f>+F18+F12</f>
        <v>31713.326000000001</v>
      </c>
      <c r="G20" s="184">
        <f>+G18+G12</f>
        <v>0</v>
      </c>
      <c r="H20" s="184">
        <f>+H18+H12</f>
        <v>31713.326000000001</v>
      </c>
      <c r="M20" s="184">
        <f>+M18+M12</f>
        <v>4481.9399999999996</v>
      </c>
      <c r="O20" s="184">
        <f>+O18+O12</f>
        <v>5191.2849999999999</v>
      </c>
      <c r="Q20" s="184">
        <f>+Q18+Q12</f>
        <v>640.74</v>
      </c>
      <c r="R20" s="181"/>
      <c r="S20" s="184">
        <f>+S18+S12</f>
        <v>5122.68</v>
      </c>
      <c r="T20" s="252" t="s">
        <v>497</v>
      </c>
    </row>
    <row r="21" spans="2:20" ht="15.75" thickTop="1" x14ac:dyDescent="0.25">
      <c r="R21" s="91"/>
    </row>
    <row r="22" spans="2:20" x14ac:dyDescent="0.25">
      <c r="R22" s="91"/>
      <c r="T22" s="186"/>
    </row>
  </sheetData>
  <pageMargins left="0.7" right="0.7" top="0.75" bottom="0.75" header="0.3" footer="0.3"/>
  <pageSetup scale="43" orientation="portrait" horizontalDpi="300" verticalDpi="300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7"/>
  <sheetViews>
    <sheetView workbookViewId="0">
      <selection activeCell="C26" sqref="C26"/>
    </sheetView>
  </sheetViews>
  <sheetFormatPr defaultRowHeight="15" x14ac:dyDescent="0.25"/>
  <cols>
    <col min="1" max="1" width="16.42578125" customWidth="1"/>
  </cols>
  <sheetData>
    <row r="1" spans="1:8" x14ac:dyDescent="0.25">
      <c r="A1" s="265" t="str">
        <f>+Cover!A1</f>
        <v>South Eastern Indiana Natural Gas</v>
      </c>
      <c r="B1" s="265"/>
      <c r="C1" s="265"/>
      <c r="D1" s="265"/>
      <c r="E1" s="265"/>
      <c r="F1" s="265"/>
      <c r="G1" s="265"/>
      <c r="H1" s="265"/>
    </row>
    <row r="3" spans="1:8" x14ac:dyDescent="0.25">
      <c r="A3" s="265" t="s">
        <v>3</v>
      </c>
      <c r="B3" s="265"/>
      <c r="C3" s="265"/>
      <c r="D3" s="265"/>
      <c r="E3" s="265"/>
      <c r="F3" s="265"/>
      <c r="G3" s="265"/>
      <c r="H3" s="265"/>
    </row>
    <row r="5" spans="1:8" x14ac:dyDescent="0.25">
      <c r="A5" s="86"/>
      <c r="B5" s="86" t="s">
        <v>4</v>
      </c>
      <c r="C5" s="86"/>
      <c r="D5" s="86"/>
      <c r="E5" s="86"/>
      <c r="F5" s="86"/>
      <c r="G5" s="86"/>
      <c r="H5" s="86"/>
    </row>
    <row r="6" spans="1:8" x14ac:dyDescent="0.25">
      <c r="A6" s="86"/>
      <c r="B6" s="43" t="s">
        <v>5</v>
      </c>
      <c r="C6" s="86"/>
      <c r="D6" s="86" t="str">
        <f>+'(Ex 1 Pg 1) Deferred Tax'!B5</f>
        <v>Deferred Tax Asset/Liability</v>
      </c>
      <c r="E6" s="86"/>
      <c r="F6" s="86"/>
      <c r="G6" s="86"/>
      <c r="H6" s="86"/>
    </row>
    <row r="7" spans="1:8" x14ac:dyDescent="0.25">
      <c r="A7" s="86"/>
      <c r="B7" s="43" t="s">
        <v>6</v>
      </c>
      <c r="C7" s="86"/>
      <c r="D7" s="44" t="str">
        <f>+'(Pg 2) Clients TB'!B5</f>
        <v>Trial Balance</v>
      </c>
      <c r="E7" s="86"/>
      <c r="F7" s="86"/>
      <c r="G7" s="86"/>
      <c r="H7" s="86"/>
    </row>
    <row r="8" spans="1:8" x14ac:dyDescent="0.25">
      <c r="A8" s="86"/>
      <c r="B8" s="43" t="s">
        <v>7</v>
      </c>
      <c r="C8" s="86"/>
      <c r="D8" s="86" t="s">
        <v>8</v>
      </c>
      <c r="E8" s="86"/>
      <c r="F8" s="86"/>
      <c r="G8" s="86"/>
      <c r="H8" s="86"/>
    </row>
    <row r="9" spans="1:8" x14ac:dyDescent="0.25">
      <c r="A9" s="86"/>
      <c r="B9" s="43" t="s">
        <v>9</v>
      </c>
      <c r="C9" s="86"/>
      <c r="D9" s="86" t="s">
        <v>10</v>
      </c>
      <c r="E9" s="86"/>
      <c r="F9" s="86"/>
      <c r="G9" s="86"/>
      <c r="H9" s="86"/>
    </row>
    <row r="10" spans="1:8" x14ac:dyDescent="0.25">
      <c r="A10" s="86"/>
      <c r="B10" s="43" t="s">
        <v>11</v>
      </c>
      <c r="C10" s="86"/>
      <c r="D10" s="86" t="s">
        <v>12</v>
      </c>
      <c r="E10" s="86"/>
      <c r="F10" s="86"/>
      <c r="G10" s="86"/>
      <c r="H10" s="86"/>
    </row>
    <row r="11" spans="1:8" s="86" customFormat="1" x14ac:dyDescent="0.25">
      <c r="B11" s="43" t="s">
        <v>13</v>
      </c>
      <c r="D11" s="86" t="s">
        <v>14</v>
      </c>
    </row>
    <row r="12" spans="1:8" x14ac:dyDescent="0.25">
      <c r="A12" s="86"/>
      <c r="B12" s="43"/>
      <c r="C12" s="86"/>
      <c r="D12" s="86"/>
      <c r="E12" s="86"/>
      <c r="F12" s="86"/>
      <c r="G12" s="86"/>
      <c r="H12" s="86"/>
    </row>
    <row r="13" spans="1:8" x14ac:dyDescent="0.25">
      <c r="A13" s="86"/>
      <c r="B13" s="86" t="s">
        <v>15</v>
      </c>
      <c r="C13" s="86"/>
      <c r="D13" s="86"/>
      <c r="E13" s="86"/>
      <c r="F13" s="86"/>
      <c r="G13" s="86"/>
      <c r="H13" s="86"/>
    </row>
    <row r="14" spans="1:8" x14ac:dyDescent="0.25">
      <c r="A14" s="86"/>
      <c r="B14" s="43" t="s">
        <v>5</v>
      </c>
      <c r="C14" s="86"/>
      <c r="D14" s="86" t="str">
        <f>+'(Ex 2 Pg 1) NAV'!B5</f>
        <v xml:space="preserve">Average Rate Assumption Method ("ARAM") </v>
      </c>
      <c r="E14" s="86"/>
      <c r="F14" s="86"/>
      <c r="G14" s="86"/>
      <c r="H14" s="86"/>
    </row>
    <row r="15" spans="1:8" x14ac:dyDescent="0.25">
      <c r="A15" s="86"/>
      <c r="B15" s="43" t="s">
        <v>6</v>
      </c>
      <c r="C15" s="86"/>
      <c r="D15" s="1" t="s">
        <v>16</v>
      </c>
      <c r="E15" s="86"/>
      <c r="F15" s="86"/>
      <c r="G15" s="86"/>
      <c r="H15" s="86"/>
    </row>
    <row r="16" spans="1:8" x14ac:dyDescent="0.25">
      <c r="A16" s="86"/>
      <c r="B16" s="43" t="s">
        <v>7</v>
      </c>
      <c r="C16" s="86"/>
      <c r="D16" s="1" t="s">
        <v>17</v>
      </c>
      <c r="E16" s="86"/>
      <c r="F16" s="86"/>
      <c r="G16" s="86"/>
      <c r="H16" s="86"/>
    </row>
    <row r="17" spans="2:7" x14ac:dyDescent="0.25">
      <c r="B17" s="43" t="s">
        <v>18</v>
      </c>
      <c r="C17" s="86"/>
      <c r="D17" s="86" t="s">
        <v>19</v>
      </c>
      <c r="E17" s="86"/>
      <c r="F17" s="86"/>
      <c r="G17" s="86"/>
    </row>
    <row r="19" spans="2:7" s="86" customFormat="1" x14ac:dyDescent="0.25">
      <c r="B19" s="86" t="s">
        <v>20</v>
      </c>
    </row>
    <row r="20" spans="2:7" s="86" customFormat="1" x14ac:dyDescent="0.25">
      <c r="B20" s="43" t="s">
        <v>5</v>
      </c>
      <c r="D20" s="86" t="s">
        <v>21</v>
      </c>
    </row>
    <row r="21" spans="2:7" s="86" customFormat="1" x14ac:dyDescent="0.25">
      <c r="B21" s="43" t="s">
        <v>6</v>
      </c>
      <c r="D21" s="86" t="s">
        <v>22</v>
      </c>
    </row>
    <row r="22" spans="2:7" s="86" customFormat="1" x14ac:dyDescent="0.25">
      <c r="B22" s="43" t="s">
        <v>7</v>
      </c>
      <c r="D22" s="86" t="s">
        <v>23</v>
      </c>
    </row>
    <row r="23" spans="2:7" s="86" customFormat="1" x14ac:dyDescent="0.25">
      <c r="B23" s="43"/>
    </row>
    <row r="24" spans="2:7" x14ac:dyDescent="0.25">
      <c r="B24" s="158" t="s">
        <v>24</v>
      </c>
      <c r="C24" s="86"/>
      <c r="D24" s="86"/>
      <c r="E24" s="86"/>
      <c r="F24" s="86"/>
      <c r="G24" s="86"/>
    </row>
    <row r="25" spans="2:7" x14ac:dyDescent="0.25">
      <c r="B25" s="43" t="s">
        <v>5</v>
      </c>
      <c r="C25" s="86"/>
      <c r="D25" s="86" t="s">
        <v>25</v>
      </c>
      <c r="E25" s="86"/>
      <c r="F25" s="86"/>
      <c r="G25" s="86"/>
    </row>
    <row r="26" spans="2:7" x14ac:dyDescent="0.25">
      <c r="B26" s="43" t="s">
        <v>6</v>
      </c>
      <c r="C26" s="86"/>
      <c r="D26" s="86" t="s">
        <v>26</v>
      </c>
      <c r="E26" s="86"/>
      <c r="F26" s="86"/>
      <c r="G26" s="86"/>
    </row>
    <row r="27" spans="2:7" x14ac:dyDescent="0.25">
      <c r="B27" s="43" t="s">
        <v>27</v>
      </c>
      <c r="C27" s="86"/>
      <c r="D27" s="86" t="s">
        <v>28</v>
      </c>
      <c r="E27" s="86"/>
      <c r="F27" s="86"/>
      <c r="G27" s="86"/>
    </row>
  </sheetData>
  <mergeCells count="2">
    <mergeCell ref="A1:H1"/>
    <mergeCell ref="A3:H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view="pageBreakPreview" zoomScale="60" zoomScaleNormal="100" workbookViewId="0">
      <selection activeCell="S2" sqref="S2"/>
    </sheetView>
  </sheetViews>
  <sheetFormatPr defaultColWidth="9.140625" defaultRowHeight="15" x14ac:dyDescent="0.25"/>
  <cols>
    <col min="1" max="1" width="19.140625" style="5" customWidth="1"/>
    <col min="2" max="2" width="9.140625" style="5"/>
    <col min="3" max="3" width="9.140625" style="13"/>
    <col min="4" max="4" width="11.5703125" style="5" bestFit="1" customWidth="1"/>
    <col min="5" max="5" width="13.85546875" style="5" bestFit="1" customWidth="1"/>
    <col min="6" max="6" width="11.5703125" style="5" bestFit="1" customWidth="1"/>
    <col min="7" max="7" width="15.28515625" style="5" bestFit="1" customWidth="1"/>
    <col min="8" max="8" width="13.5703125" style="5" bestFit="1" customWidth="1"/>
    <col min="9" max="9" width="13.7109375" style="5" bestFit="1" customWidth="1"/>
    <col min="10" max="10" width="13.28515625" style="5" bestFit="1" customWidth="1"/>
    <col min="11" max="11" width="12.7109375" style="5" bestFit="1" customWidth="1"/>
    <col min="12" max="12" width="2.42578125" style="5" customWidth="1"/>
    <col min="13" max="13" width="11.42578125" style="5" bestFit="1" customWidth="1"/>
    <col min="14" max="14" width="2.42578125" style="5" customWidth="1"/>
    <col min="15" max="15" width="9.140625" style="5"/>
    <col min="16" max="16" width="9.5703125" style="5" bestFit="1" customWidth="1"/>
    <col min="17" max="17" width="11.85546875" style="5" bestFit="1" customWidth="1"/>
    <col min="18" max="18" width="2.42578125" style="5" customWidth="1"/>
    <col min="19" max="19" width="14.140625" style="5" bestFit="1" customWidth="1"/>
    <col min="20" max="16384" width="9.140625" style="5"/>
  </cols>
  <sheetData>
    <row r="1" spans="1:20" x14ac:dyDescent="0.25">
      <c r="A1" s="5" t="s">
        <v>467</v>
      </c>
      <c r="O1" s="13"/>
      <c r="S1" s="22" t="s">
        <v>468</v>
      </c>
    </row>
    <row r="2" spans="1:20" x14ac:dyDescent="0.25">
      <c r="A2" s="5" t="s">
        <v>522</v>
      </c>
      <c r="O2" s="13"/>
      <c r="S2" s="22" t="str">
        <f>Cover!A5</f>
        <v>CAUSE NO. 45032-S13</v>
      </c>
    </row>
    <row r="3" spans="1:20" x14ac:dyDescent="0.25">
      <c r="O3" s="13"/>
      <c r="S3" s="22" t="s">
        <v>100</v>
      </c>
    </row>
    <row r="5" spans="1:20" x14ac:dyDescent="0.25">
      <c r="C5" s="159" t="s">
        <v>470</v>
      </c>
      <c r="D5" s="160" t="s">
        <v>471</v>
      </c>
      <c r="F5" s="160"/>
      <c r="H5" s="160" t="s">
        <v>472</v>
      </c>
      <c r="I5" s="161" t="s">
        <v>473</v>
      </c>
      <c r="J5" s="252" t="s">
        <v>474</v>
      </c>
      <c r="K5" s="161" t="s">
        <v>475</v>
      </c>
      <c r="M5" s="162" t="s">
        <v>476</v>
      </c>
      <c r="O5" s="160" t="s">
        <v>477</v>
      </c>
      <c r="P5" s="252" t="s">
        <v>477</v>
      </c>
      <c r="Q5" s="161" t="s">
        <v>478</v>
      </c>
      <c r="R5" s="163"/>
      <c r="S5" s="252" t="s">
        <v>479</v>
      </c>
      <c r="T5" s="252"/>
    </row>
    <row r="6" spans="1:20" x14ac:dyDescent="0.25">
      <c r="A6" s="164"/>
      <c r="B6" s="7" t="s">
        <v>480</v>
      </c>
      <c r="C6" s="165" t="s">
        <v>481</v>
      </c>
      <c r="D6" s="166" t="s">
        <v>521</v>
      </c>
      <c r="E6" s="166" t="s">
        <v>483</v>
      </c>
      <c r="F6" s="166" t="s">
        <v>521</v>
      </c>
      <c r="G6" s="166" t="s">
        <v>484</v>
      </c>
      <c r="H6" s="166" t="s">
        <v>485</v>
      </c>
      <c r="I6" s="167" t="s">
        <v>486</v>
      </c>
      <c r="J6" s="7" t="s">
        <v>486</v>
      </c>
      <c r="K6" s="167" t="s">
        <v>127</v>
      </c>
      <c r="L6" s="164"/>
      <c r="M6" s="168" t="s">
        <v>487</v>
      </c>
      <c r="N6" s="164"/>
      <c r="O6" s="166" t="s">
        <v>521</v>
      </c>
      <c r="P6" s="7" t="s">
        <v>488</v>
      </c>
      <c r="Q6" s="167" t="s">
        <v>127</v>
      </c>
      <c r="R6" s="169"/>
      <c r="S6" s="7" t="s">
        <v>489</v>
      </c>
      <c r="T6" s="7"/>
    </row>
    <row r="7" spans="1:20" x14ac:dyDescent="0.25">
      <c r="M7" s="162" t="s">
        <v>490</v>
      </c>
    </row>
    <row r="8" spans="1:20" x14ac:dyDescent="0.25">
      <c r="A8" s="5" t="s">
        <v>491</v>
      </c>
      <c r="C8" s="159">
        <v>0</v>
      </c>
    </row>
    <row r="9" spans="1:20" x14ac:dyDescent="0.25">
      <c r="B9" s="170" t="s">
        <v>492</v>
      </c>
      <c r="C9" s="159">
        <v>289</v>
      </c>
      <c r="D9" s="160">
        <v>8233.9449999999997</v>
      </c>
      <c r="F9" s="160">
        <f>+D9+E9</f>
        <v>8233.9449999999997</v>
      </c>
      <c r="G9" s="160">
        <v>0</v>
      </c>
      <c r="H9" s="160">
        <f>F9+G9</f>
        <v>8233.9449999999997</v>
      </c>
      <c r="I9" s="171">
        <v>5.1402000000000001</v>
      </c>
      <c r="J9" s="13">
        <v>4.9596</v>
      </c>
      <c r="K9" s="172">
        <f>I9-J9</f>
        <v>0.18060000000000009</v>
      </c>
      <c r="M9" s="173">
        <f>ROUND(H9*K9,2)</f>
        <v>1487.05</v>
      </c>
    </row>
    <row r="10" spans="1:20" x14ac:dyDescent="0.25">
      <c r="B10" s="174" t="s">
        <v>493</v>
      </c>
      <c r="C10" s="159">
        <v>1475</v>
      </c>
      <c r="D10" s="160">
        <v>9704.5120000000006</v>
      </c>
      <c r="F10" s="160">
        <f>+D10+E10</f>
        <v>9704.5120000000006</v>
      </c>
      <c r="G10" s="160">
        <v>0</v>
      </c>
      <c r="H10" s="160">
        <f>F10+G10</f>
        <v>9704.5120000000006</v>
      </c>
      <c r="I10" s="171">
        <v>3.68</v>
      </c>
      <c r="J10" s="13">
        <v>3.5507</v>
      </c>
      <c r="K10" s="172">
        <f>I10-J10</f>
        <v>0.12930000000000019</v>
      </c>
      <c r="M10" s="173">
        <f>ROUND(H10*K10,2)</f>
        <v>1254.79</v>
      </c>
    </row>
    <row r="11" spans="1:20" x14ac:dyDescent="0.25">
      <c r="C11" s="175">
        <f>SUM(C8:C10)</f>
        <v>1764</v>
      </c>
      <c r="D11" s="176">
        <f t="shared" ref="D11:H11" si="0">SUM(D8:D10)</f>
        <v>17938.457000000002</v>
      </c>
      <c r="E11" s="176">
        <f t="shared" si="0"/>
        <v>0</v>
      </c>
      <c r="F11" s="176">
        <f t="shared" si="0"/>
        <v>17938.457000000002</v>
      </c>
      <c r="G11" s="176">
        <f t="shared" si="0"/>
        <v>0</v>
      </c>
      <c r="H11" s="176">
        <f t="shared" si="0"/>
        <v>17938.457000000002</v>
      </c>
      <c r="I11" s="13"/>
      <c r="J11" s="13"/>
      <c r="M11" s="177">
        <f>SUM(M9:M10)</f>
        <v>2741.84</v>
      </c>
      <c r="O11" s="12">
        <v>-197.62299999999999</v>
      </c>
      <c r="P11" s="178">
        <f>K10</f>
        <v>0.12930000000000019</v>
      </c>
      <c r="Q11" s="90">
        <f>ROUND(O11*P11,2)</f>
        <v>-25.55</v>
      </c>
      <c r="S11" s="23">
        <f>+M11+Q11</f>
        <v>2716.29</v>
      </c>
      <c r="T11" s="185"/>
    </row>
    <row r="12" spans="1:20" x14ac:dyDescent="0.25">
      <c r="C12" s="179"/>
      <c r="D12" s="180"/>
      <c r="E12" s="180"/>
      <c r="F12" s="180"/>
      <c r="G12" s="180"/>
      <c r="H12" s="180"/>
      <c r="I12" s="13"/>
      <c r="J12" s="13"/>
      <c r="M12" s="181"/>
      <c r="O12" s="13"/>
      <c r="P12" s="178"/>
      <c r="S12" s="23"/>
    </row>
    <row r="13" spans="1:20" x14ac:dyDescent="0.25">
      <c r="A13" s="5" t="s">
        <v>494</v>
      </c>
      <c r="C13" s="159">
        <v>0</v>
      </c>
      <c r="I13" s="13"/>
      <c r="J13" s="182"/>
      <c r="O13" s="13"/>
    </row>
    <row r="14" spans="1:20" x14ac:dyDescent="0.25">
      <c r="B14" s="174" t="s">
        <v>492</v>
      </c>
      <c r="C14" s="159">
        <v>35</v>
      </c>
      <c r="D14" s="160">
        <v>1399.1659999999999</v>
      </c>
      <c r="F14" s="160">
        <f>+D14+E14</f>
        <v>1399.1659999999999</v>
      </c>
      <c r="G14" s="160">
        <v>0</v>
      </c>
      <c r="H14" s="160">
        <f>F14+G14</f>
        <v>1399.1659999999999</v>
      </c>
      <c r="I14" s="171">
        <v>5.1402000000000001</v>
      </c>
      <c r="J14" s="13">
        <v>4.9596</v>
      </c>
      <c r="K14" s="172">
        <f>I14-J14</f>
        <v>0.18060000000000009</v>
      </c>
      <c r="M14" s="173">
        <f>ROUND(H14*K14,2)</f>
        <v>252.69</v>
      </c>
      <c r="O14" s="13"/>
    </row>
    <row r="15" spans="1:20" x14ac:dyDescent="0.25">
      <c r="B15" s="252" t="s">
        <v>495</v>
      </c>
      <c r="C15" s="159">
        <v>148</v>
      </c>
      <c r="D15" s="160">
        <v>3419.962</v>
      </c>
      <c r="F15" s="160">
        <f>+D15+E15</f>
        <v>3419.962</v>
      </c>
      <c r="G15" s="160">
        <v>0</v>
      </c>
      <c r="H15" s="160">
        <f>F15+G15</f>
        <v>3419.962</v>
      </c>
      <c r="I15" s="171">
        <v>3.68</v>
      </c>
      <c r="J15" s="13">
        <v>3.5507</v>
      </c>
      <c r="K15" s="172">
        <f>I15-J15</f>
        <v>0.12930000000000019</v>
      </c>
      <c r="M15" s="173">
        <f>ROUND(H15*K15,2)</f>
        <v>442.2</v>
      </c>
      <c r="O15" s="13"/>
    </row>
    <row r="16" spans="1:20" x14ac:dyDescent="0.25">
      <c r="B16" s="252" t="s">
        <v>496</v>
      </c>
      <c r="C16" s="159">
        <v>111</v>
      </c>
      <c r="D16" s="160">
        <v>9179.74</v>
      </c>
      <c r="F16" s="160">
        <f>+D16+E16</f>
        <v>9179.74</v>
      </c>
      <c r="G16" s="160">
        <v>0</v>
      </c>
      <c r="H16" s="160">
        <f>F16+G16</f>
        <v>9179.74</v>
      </c>
      <c r="I16" s="171">
        <v>3.2587000000000002</v>
      </c>
      <c r="J16" s="171">
        <v>3.1442000000000001</v>
      </c>
      <c r="K16" s="172">
        <f>I16-J16</f>
        <v>0.11450000000000005</v>
      </c>
      <c r="M16" s="173">
        <f>ROUND(H16*K16,2)</f>
        <v>1051.08</v>
      </c>
      <c r="O16" s="13"/>
    </row>
    <row r="17" spans="3:20" x14ac:dyDescent="0.25">
      <c r="C17" s="175">
        <f>SUM(C14:C16)</f>
        <v>294</v>
      </c>
      <c r="D17" s="176">
        <f t="shared" ref="D17:H17" si="1">SUM(D14:D16)</f>
        <v>13998.867999999999</v>
      </c>
      <c r="E17" s="176">
        <f t="shared" si="1"/>
        <v>0</v>
      </c>
      <c r="F17" s="176">
        <f t="shared" si="1"/>
        <v>13998.867999999999</v>
      </c>
      <c r="G17" s="176">
        <f t="shared" si="1"/>
        <v>0</v>
      </c>
      <c r="H17" s="176">
        <f t="shared" si="1"/>
        <v>13998.867999999999</v>
      </c>
      <c r="I17" s="13"/>
      <c r="J17" s="182"/>
      <c r="M17" s="177">
        <f>SUM(M14:M16)</f>
        <v>1745.9699999999998</v>
      </c>
      <c r="O17" s="183">
        <v>-232.178</v>
      </c>
      <c r="P17" s="178">
        <f>K16</f>
        <v>0.11450000000000005</v>
      </c>
      <c r="Q17" s="92">
        <f>ROUND(O17*P17,2)</f>
        <v>-26.58</v>
      </c>
      <c r="S17" s="39">
        <f>+M17+Q17</f>
        <v>1719.3899999999999</v>
      </c>
      <c r="T17" s="185"/>
    </row>
    <row r="18" spans="3:20" x14ac:dyDescent="0.25">
      <c r="C18" s="179"/>
      <c r="D18" s="180"/>
      <c r="E18" s="180"/>
      <c r="F18" s="180"/>
      <c r="G18" s="180"/>
      <c r="H18" s="180"/>
      <c r="I18" s="13"/>
      <c r="J18" s="182"/>
      <c r="M18" s="181"/>
      <c r="O18" s="13"/>
      <c r="P18" s="178"/>
      <c r="S18" s="23"/>
    </row>
    <row r="19" spans="3:20" ht="15.75" thickBot="1" x14ac:dyDescent="0.3">
      <c r="C19" s="180"/>
      <c r="F19" s="184">
        <f>+F17+F11</f>
        <v>31937.325000000001</v>
      </c>
      <c r="G19" s="184">
        <f>+G17+G11</f>
        <v>0</v>
      </c>
      <c r="H19" s="184">
        <f>+H17+H11</f>
        <v>31937.325000000001</v>
      </c>
      <c r="M19" s="184">
        <f>+M17+M11</f>
        <v>4487.8099999999995</v>
      </c>
      <c r="O19" s="184">
        <f>+O17+O11</f>
        <v>-429.80099999999999</v>
      </c>
      <c r="Q19" s="184">
        <f>+Q17+Q11</f>
        <v>-52.129999999999995</v>
      </c>
      <c r="R19" s="181"/>
      <c r="S19" s="184">
        <f>+S17+S11</f>
        <v>4435.68</v>
      </c>
      <c r="T19" s="252" t="s">
        <v>497</v>
      </c>
    </row>
    <row r="20" spans="3:20" ht="15.75" thickTop="1" x14ac:dyDescent="0.25">
      <c r="R20" s="91"/>
    </row>
    <row r="21" spans="3:20" x14ac:dyDescent="0.25">
      <c r="R21" s="91"/>
      <c r="T21" s="186"/>
    </row>
  </sheetData>
  <pageMargins left="0.7" right="0.7" top="0.75" bottom="0.75" header="0.3" footer="0.3"/>
  <pageSetup scale="42" orientation="portrait" horizontalDpi="300" verticalDpi="300" r:id="rId1"/>
  <colBreaks count="1" manualBreakCount="1">
    <brk id="19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view="pageBreakPreview" zoomScale="60" zoomScaleNormal="100" workbookViewId="0">
      <selection activeCell="S2" sqref="S2"/>
    </sheetView>
  </sheetViews>
  <sheetFormatPr defaultColWidth="9.140625" defaultRowHeight="15" x14ac:dyDescent="0.25"/>
  <cols>
    <col min="1" max="1" width="18.7109375" style="86" customWidth="1"/>
    <col min="2" max="2" width="9.140625" style="86"/>
    <col min="3" max="3" width="9.140625" style="1"/>
    <col min="4" max="4" width="11.5703125" style="86" bestFit="1" customWidth="1"/>
    <col min="5" max="5" width="13.85546875" style="86" bestFit="1" customWidth="1"/>
    <col min="6" max="6" width="11.5703125" style="86" bestFit="1" customWidth="1"/>
    <col min="7" max="7" width="15.28515625" style="86" bestFit="1" customWidth="1"/>
    <col min="8" max="8" width="13.5703125" style="86" bestFit="1" customWidth="1"/>
    <col min="9" max="9" width="11.5703125" style="86" bestFit="1" customWidth="1"/>
    <col min="10" max="10" width="11" style="86" bestFit="1" customWidth="1"/>
    <col min="11" max="11" width="12.7109375" style="86" bestFit="1" customWidth="1"/>
    <col min="12" max="12" width="2.42578125" style="86" customWidth="1"/>
    <col min="13" max="13" width="11.42578125" style="86" bestFit="1" customWidth="1"/>
    <col min="14" max="14" width="2.42578125" style="86" customWidth="1"/>
    <col min="15" max="15" width="9.7109375" style="86" bestFit="1" customWidth="1"/>
    <col min="16" max="16" width="9.5703125" style="86" bestFit="1" customWidth="1"/>
    <col min="17" max="17" width="11.85546875" style="86" bestFit="1" customWidth="1"/>
    <col min="18" max="18" width="2.42578125" style="86" customWidth="1"/>
    <col min="19" max="19" width="14.140625" style="86" bestFit="1" customWidth="1"/>
    <col min="20" max="16384" width="9.140625" style="86"/>
  </cols>
  <sheetData>
    <row r="1" spans="1:20" x14ac:dyDescent="0.25">
      <c r="A1" s="5" t="s">
        <v>467</v>
      </c>
      <c r="B1" s="5"/>
      <c r="C1" s="13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3"/>
      <c r="P1" s="5"/>
      <c r="Q1" s="5"/>
      <c r="R1" s="5"/>
      <c r="S1" s="22" t="s">
        <v>468</v>
      </c>
    </row>
    <row r="2" spans="1:20" x14ac:dyDescent="0.25">
      <c r="A2" s="5" t="s">
        <v>523</v>
      </c>
      <c r="B2" s="5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3"/>
      <c r="P2" s="5"/>
      <c r="Q2" s="5"/>
      <c r="R2" s="5"/>
      <c r="S2" s="22" t="str">
        <f>Cover!A5</f>
        <v>CAUSE NO. 45032-S13</v>
      </c>
    </row>
    <row r="3" spans="1:20" x14ac:dyDescent="0.25">
      <c r="A3" s="5"/>
      <c r="B3" s="5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3"/>
      <c r="P3" s="5"/>
      <c r="Q3" s="5"/>
      <c r="R3" s="5"/>
      <c r="S3" s="22" t="s">
        <v>107</v>
      </c>
    </row>
    <row r="4" spans="1:20" x14ac:dyDescent="0.25">
      <c r="A4" s="5"/>
      <c r="B4" s="5"/>
      <c r="C4" s="1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x14ac:dyDescent="0.25">
      <c r="A5" s="5"/>
      <c r="B5" s="5"/>
      <c r="C5" s="159" t="s">
        <v>470</v>
      </c>
      <c r="D5" s="160" t="s">
        <v>471</v>
      </c>
      <c r="E5" s="5"/>
      <c r="F5" s="160"/>
      <c r="G5" s="5"/>
      <c r="H5" s="160" t="s">
        <v>472</v>
      </c>
      <c r="I5" s="161" t="s">
        <v>473</v>
      </c>
      <c r="J5" s="252" t="s">
        <v>474</v>
      </c>
      <c r="K5" s="161" t="s">
        <v>475</v>
      </c>
      <c r="L5" s="5"/>
      <c r="M5" s="162" t="s">
        <v>476</v>
      </c>
      <c r="N5" s="5"/>
      <c r="O5" s="160" t="s">
        <v>477</v>
      </c>
      <c r="P5" s="252" t="s">
        <v>477</v>
      </c>
      <c r="Q5" s="161" t="s">
        <v>478</v>
      </c>
      <c r="R5" s="163"/>
      <c r="S5" s="252" t="s">
        <v>479</v>
      </c>
      <c r="T5" s="251"/>
    </row>
    <row r="6" spans="1:20" x14ac:dyDescent="0.25">
      <c r="A6" s="164"/>
      <c r="B6" s="7" t="s">
        <v>480</v>
      </c>
      <c r="C6" s="165" t="s">
        <v>481</v>
      </c>
      <c r="D6" s="166" t="s">
        <v>521</v>
      </c>
      <c r="E6" s="166" t="s">
        <v>483</v>
      </c>
      <c r="F6" s="166" t="s">
        <v>521</v>
      </c>
      <c r="G6" s="166" t="s">
        <v>484</v>
      </c>
      <c r="H6" s="166" t="s">
        <v>485</v>
      </c>
      <c r="I6" s="167" t="s">
        <v>486</v>
      </c>
      <c r="J6" s="7" t="s">
        <v>486</v>
      </c>
      <c r="K6" s="167" t="s">
        <v>127</v>
      </c>
      <c r="L6" s="164"/>
      <c r="M6" s="168" t="s">
        <v>487</v>
      </c>
      <c r="N6" s="164"/>
      <c r="O6" s="166" t="s">
        <v>521</v>
      </c>
      <c r="P6" s="7" t="s">
        <v>488</v>
      </c>
      <c r="Q6" s="167" t="s">
        <v>127</v>
      </c>
      <c r="R6" s="169"/>
      <c r="S6" s="7" t="s">
        <v>489</v>
      </c>
      <c r="T6" s="153"/>
    </row>
    <row r="7" spans="1:20" x14ac:dyDescent="0.25">
      <c r="A7" s="5"/>
      <c r="B7" s="5"/>
      <c r="C7" s="13"/>
      <c r="D7" s="5"/>
      <c r="E7" s="5"/>
      <c r="F7" s="5"/>
      <c r="G7" s="5"/>
      <c r="H7" s="5"/>
      <c r="I7" s="5"/>
      <c r="J7" s="5"/>
      <c r="K7" s="5"/>
      <c r="L7" s="5"/>
      <c r="M7" s="162" t="s">
        <v>490</v>
      </c>
      <c r="N7" s="5"/>
      <c r="O7" s="5"/>
      <c r="P7" s="5"/>
      <c r="Q7" s="5"/>
      <c r="R7" s="5"/>
      <c r="S7" s="5"/>
    </row>
    <row r="8" spans="1:20" x14ac:dyDescent="0.25">
      <c r="A8" s="5" t="s">
        <v>491</v>
      </c>
      <c r="B8" s="5"/>
      <c r="C8" s="15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20" x14ac:dyDescent="0.25">
      <c r="A9" s="5"/>
      <c r="B9" s="170" t="s">
        <v>492</v>
      </c>
      <c r="C9" s="159">
        <v>632</v>
      </c>
      <c r="D9" s="160">
        <v>7660.9319999999998</v>
      </c>
      <c r="E9" s="5"/>
      <c r="F9" s="160">
        <f>+D9+E9</f>
        <v>7660.9319999999998</v>
      </c>
      <c r="G9" s="160">
        <v>0</v>
      </c>
      <c r="H9" s="160">
        <f>F9+G9</f>
        <v>7660.9319999999998</v>
      </c>
      <c r="I9" s="171">
        <v>5.1402000000000001</v>
      </c>
      <c r="J9" s="13">
        <v>4.9596</v>
      </c>
      <c r="K9" s="172">
        <f>I9-J9</f>
        <v>0.18060000000000009</v>
      </c>
      <c r="L9" s="5"/>
      <c r="M9" s="173">
        <f>ROUND(H9*K9,2)</f>
        <v>1383.56</v>
      </c>
      <c r="N9" s="5"/>
      <c r="O9" s="5"/>
      <c r="P9" s="5"/>
      <c r="Q9" s="5"/>
      <c r="R9" s="5"/>
      <c r="S9" s="5"/>
    </row>
    <row r="10" spans="1:20" x14ac:dyDescent="0.25">
      <c r="A10" s="5"/>
      <c r="B10" s="174" t="s">
        <v>493</v>
      </c>
      <c r="C10" s="159">
        <v>1131</v>
      </c>
      <c r="D10" s="160">
        <v>4332.1419999999998</v>
      </c>
      <c r="E10" s="5"/>
      <c r="F10" s="160">
        <f>+D10+E10</f>
        <v>4332.1419999999998</v>
      </c>
      <c r="G10" s="160">
        <v>0</v>
      </c>
      <c r="H10" s="160">
        <f>F10+G10</f>
        <v>4332.1419999999998</v>
      </c>
      <c r="I10" s="171">
        <v>3.68</v>
      </c>
      <c r="J10" s="13">
        <v>3.5507</v>
      </c>
      <c r="K10" s="172">
        <f>I10-J10</f>
        <v>0.12930000000000019</v>
      </c>
      <c r="L10" s="5"/>
      <c r="M10" s="173">
        <f>ROUND(H10*K10,2)</f>
        <v>560.15</v>
      </c>
      <c r="N10" s="5"/>
      <c r="O10" s="5"/>
      <c r="P10" s="5"/>
      <c r="Q10" s="5"/>
      <c r="R10" s="5"/>
      <c r="S10" s="5"/>
    </row>
    <row r="11" spans="1:20" x14ac:dyDescent="0.25">
      <c r="A11" s="5"/>
      <c r="B11" s="5"/>
      <c r="C11" s="175">
        <f>SUM(C8:C10)</f>
        <v>1763</v>
      </c>
      <c r="D11" s="176">
        <f t="shared" ref="D11:H11" si="0">SUM(D8:D10)</f>
        <v>11993.074000000001</v>
      </c>
      <c r="E11" s="176">
        <f t="shared" si="0"/>
        <v>0</v>
      </c>
      <c r="F11" s="176">
        <f t="shared" si="0"/>
        <v>11993.074000000001</v>
      </c>
      <c r="G11" s="176">
        <f t="shared" si="0"/>
        <v>0</v>
      </c>
      <c r="H11" s="176">
        <f t="shared" si="0"/>
        <v>11993.074000000001</v>
      </c>
      <c r="I11" s="13"/>
      <c r="J11" s="13"/>
      <c r="K11" s="5"/>
      <c r="L11" s="5"/>
      <c r="M11" s="177">
        <f>SUM(M9:M10)</f>
        <v>1943.71</v>
      </c>
      <c r="N11" s="5"/>
      <c r="O11" s="12">
        <v>-2577.895</v>
      </c>
      <c r="P11" s="178">
        <f>K10</f>
        <v>0.12930000000000019</v>
      </c>
      <c r="Q11" s="90">
        <f>ROUND(O11*P11,2)</f>
        <v>-333.32</v>
      </c>
      <c r="R11" s="5"/>
      <c r="S11" s="23">
        <f>+M11+Q11</f>
        <v>1610.39</v>
      </c>
      <c r="T11" s="154"/>
    </row>
    <row r="12" spans="1:20" x14ac:dyDescent="0.25">
      <c r="A12" s="5"/>
      <c r="B12" s="5"/>
      <c r="C12" s="179"/>
      <c r="D12" s="180"/>
      <c r="E12" s="180"/>
      <c r="F12" s="180"/>
      <c r="G12" s="180"/>
      <c r="H12" s="180"/>
      <c r="I12" s="13"/>
      <c r="J12" s="13"/>
      <c r="K12" s="5"/>
      <c r="L12" s="5"/>
      <c r="M12" s="181"/>
      <c r="N12" s="5"/>
      <c r="O12" s="13"/>
      <c r="P12" s="178"/>
      <c r="Q12" s="5"/>
      <c r="R12" s="5"/>
      <c r="S12" s="23"/>
    </row>
    <row r="13" spans="1:20" x14ac:dyDescent="0.25">
      <c r="A13" s="5" t="s">
        <v>494</v>
      </c>
      <c r="B13" s="5"/>
      <c r="C13" s="159"/>
      <c r="D13" s="5"/>
      <c r="E13" s="5"/>
      <c r="F13" s="5"/>
      <c r="G13" s="5"/>
      <c r="H13" s="5"/>
      <c r="I13" s="13"/>
      <c r="J13" s="182"/>
      <c r="K13" s="5"/>
      <c r="L13" s="5"/>
      <c r="M13" s="5"/>
      <c r="N13" s="5"/>
      <c r="O13" s="13"/>
      <c r="P13" s="5"/>
      <c r="Q13" s="5"/>
      <c r="R13" s="5"/>
      <c r="S13" s="5"/>
    </row>
    <row r="14" spans="1:20" x14ac:dyDescent="0.25">
      <c r="A14" s="5"/>
      <c r="B14" s="174" t="s">
        <v>492</v>
      </c>
      <c r="C14" s="159">
        <v>73</v>
      </c>
      <c r="D14" s="160">
        <v>1321.672</v>
      </c>
      <c r="E14" s="5"/>
      <c r="F14" s="160">
        <f>+D14+E14</f>
        <v>1321.672</v>
      </c>
      <c r="G14" s="160">
        <v>0</v>
      </c>
      <c r="H14" s="160">
        <f>F14+G14</f>
        <v>1321.672</v>
      </c>
      <c r="I14" s="171">
        <v>5.1402000000000001</v>
      </c>
      <c r="J14" s="13">
        <v>4.9596</v>
      </c>
      <c r="K14" s="172">
        <f>I14-J14</f>
        <v>0.18060000000000009</v>
      </c>
      <c r="L14" s="5"/>
      <c r="M14" s="173">
        <f>ROUND(H14*K14,2)</f>
        <v>238.69</v>
      </c>
      <c r="N14" s="5"/>
      <c r="O14" s="13"/>
      <c r="P14" s="5"/>
      <c r="Q14" s="5"/>
      <c r="R14" s="5"/>
      <c r="S14" s="5"/>
    </row>
    <row r="15" spans="1:20" x14ac:dyDescent="0.25">
      <c r="A15" s="5"/>
      <c r="B15" s="252" t="s">
        <v>495</v>
      </c>
      <c r="C15" s="159">
        <v>153</v>
      </c>
      <c r="D15" s="160">
        <v>2480.6840000000002</v>
      </c>
      <c r="E15" s="5"/>
      <c r="F15" s="160">
        <f>+D15+E15</f>
        <v>2480.6840000000002</v>
      </c>
      <c r="G15" s="160">
        <v>0</v>
      </c>
      <c r="H15" s="160">
        <f>F15+G15</f>
        <v>2480.6840000000002</v>
      </c>
      <c r="I15" s="171">
        <v>3.68</v>
      </c>
      <c r="J15" s="13">
        <v>3.5507</v>
      </c>
      <c r="K15" s="172">
        <f>I15-J15</f>
        <v>0.12930000000000019</v>
      </c>
      <c r="L15" s="5"/>
      <c r="M15" s="173">
        <f>ROUND(H15*K15,2)</f>
        <v>320.75</v>
      </c>
      <c r="N15" s="5"/>
      <c r="O15" s="13"/>
      <c r="P15" s="5"/>
      <c r="Q15" s="5"/>
      <c r="R15" s="5"/>
      <c r="S15" s="5"/>
    </row>
    <row r="16" spans="1:20" x14ac:dyDescent="0.25">
      <c r="A16" s="5"/>
      <c r="B16" s="252" t="s">
        <v>496</v>
      </c>
      <c r="C16" s="159">
        <v>67</v>
      </c>
      <c r="D16" s="160">
        <v>5679.5540000000001</v>
      </c>
      <c r="E16" s="5"/>
      <c r="F16" s="160">
        <f>+D16+E16</f>
        <v>5679.5540000000001</v>
      </c>
      <c r="G16" s="160">
        <v>0</v>
      </c>
      <c r="H16" s="160">
        <f>F16+G16</f>
        <v>5679.5540000000001</v>
      </c>
      <c r="I16" s="171">
        <v>3.2587000000000002</v>
      </c>
      <c r="J16" s="171">
        <v>3.1442000000000001</v>
      </c>
      <c r="K16" s="172">
        <f>I16-J16</f>
        <v>0.11450000000000005</v>
      </c>
      <c r="L16" s="5"/>
      <c r="M16" s="173">
        <f>ROUND(H16*K16,2)</f>
        <v>650.30999999999995</v>
      </c>
      <c r="N16" s="5"/>
      <c r="O16" s="13"/>
      <c r="P16" s="5"/>
      <c r="Q16" s="5"/>
      <c r="R16" s="5"/>
      <c r="S16" s="5"/>
    </row>
    <row r="17" spans="1:20" x14ac:dyDescent="0.25">
      <c r="A17" s="5"/>
      <c r="B17" s="5"/>
      <c r="C17" s="175">
        <f>SUM(C14:C16)</f>
        <v>293</v>
      </c>
      <c r="D17" s="175">
        <f t="shared" ref="D17:H17" si="1">SUM(D14:D16)</f>
        <v>9481.91</v>
      </c>
      <c r="E17" s="175">
        <f t="shared" si="1"/>
        <v>0</v>
      </c>
      <c r="F17" s="175">
        <f t="shared" si="1"/>
        <v>9481.91</v>
      </c>
      <c r="G17" s="175">
        <f t="shared" si="1"/>
        <v>0</v>
      </c>
      <c r="H17" s="175">
        <f t="shared" si="1"/>
        <v>9481.91</v>
      </c>
      <c r="I17" s="13"/>
      <c r="J17" s="182"/>
      <c r="K17" s="5"/>
      <c r="L17" s="5"/>
      <c r="M17" s="177">
        <f>SUM(M14:M16)</f>
        <v>1209.75</v>
      </c>
      <c r="N17" s="5"/>
      <c r="O17" s="183">
        <v>-1800.0640000000001</v>
      </c>
      <c r="P17" s="178">
        <f>K16</f>
        <v>0.11450000000000005</v>
      </c>
      <c r="Q17" s="92">
        <f>ROUND(O17*P17,2)</f>
        <v>-206.11</v>
      </c>
      <c r="R17" s="5"/>
      <c r="S17" s="39">
        <f>+M17+Q17</f>
        <v>1003.64</v>
      </c>
      <c r="T17" s="154"/>
    </row>
    <row r="18" spans="1:20" x14ac:dyDescent="0.25">
      <c r="A18" s="5"/>
      <c r="B18" s="5"/>
      <c r="C18" s="179"/>
      <c r="D18" s="180"/>
      <c r="E18" s="180"/>
      <c r="F18" s="180"/>
      <c r="G18" s="180"/>
      <c r="H18" s="180"/>
      <c r="I18" s="13"/>
      <c r="J18" s="182"/>
      <c r="K18" s="5"/>
      <c r="L18" s="5"/>
      <c r="M18" s="181"/>
      <c r="N18" s="5"/>
      <c r="O18" s="13"/>
      <c r="P18" s="178"/>
      <c r="Q18" s="5"/>
      <c r="R18" s="5"/>
      <c r="S18" s="23"/>
    </row>
    <row r="19" spans="1:20" ht="15.75" thickBot="1" x14ac:dyDescent="0.3">
      <c r="A19" s="5"/>
      <c r="B19" s="5"/>
      <c r="C19" s="180"/>
      <c r="D19" s="5"/>
      <c r="E19" s="5"/>
      <c r="F19" s="184">
        <f>+F17+F11</f>
        <v>21474.984</v>
      </c>
      <c r="G19" s="184">
        <f>+G17+G11</f>
        <v>0</v>
      </c>
      <c r="H19" s="184">
        <f>+H17+H11</f>
        <v>21474.984</v>
      </c>
      <c r="I19" s="5"/>
      <c r="J19" s="5"/>
      <c r="K19" s="5"/>
      <c r="L19" s="5"/>
      <c r="M19" s="184">
        <f>+M17+M11</f>
        <v>3153.46</v>
      </c>
      <c r="N19" s="5"/>
      <c r="O19" s="184">
        <f>+O17+O11</f>
        <v>-4377.9589999999998</v>
      </c>
      <c r="P19" s="5"/>
      <c r="Q19" s="184">
        <f>+Q17+Q11</f>
        <v>-539.43000000000006</v>
      </c>
      <c r="R19" s="181"/>
      <c r="S19" s="184">
        <f>+S17+S11</f>
        <v>2614.0300000000002</v>
      </c>
      <c r="T19" s="251" t="s">
        <v>497</v>
      </c>
    </row>
    <row r="20" spans="1:20" ht="15.75" thickTop="1" x14ac:dyDescent="0.25">
      <c r="A20" s="5"/>
      <c r="B20" s="5"/>
      <c r="C20" s="13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91"/>
      <c r="S20" s="5"/>
    </row>
    <row r="21" spans="1:20" x14ac:dyDescent="0.25">
      <c r="A21" s="5"/>
      <c r="B21" s="5"/>
      <c r="C21" s="13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91"/>
      <c r="S21" s="5"/>
      <c r="T21" s="155"/>
    </row>
  </sheetData>
  <pageMargins left="0.7" right="0.7" top="0.75" bottom="0.75" header="0.3" footer="0.3"/>
  <pageSetup scale="43" orientation="portrait" horizontalDpi="300" verticalDpi="300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44"/>
  <sheetViews>
    <sheetView view="pageBreakPreview" zoomScaleNormal="100" zoomScaleSheetLayoutView="100" workbookViewId="0">
      <selection activeCell="B10" sqref="B10"/>
    </sheetView>
  </sheetViews>
  <sheetFormatPr defaultColWidth="9.140625" defaultRowHeight="15" x14ac:dyDescent="0.25"/>
  <cols>
    <col min="1" max="1" width="5.85546875" style="4" customWidth="1"/>
    <col min="2" max="2" width="48.42578125" style="5" bestFit="1" customWidth="1"/>
    <col min="3" max="4" width="16.42578125" style="5" customWidth="1"/>
    <col min="5" max="5" width="4.28515625" style="5" customWidth="1"/>
    <col min="6" max="6" width="6" style="5" customWidth="1"/>
    <col min="7" max="7" width="11" style="5" bestFit="1" customWidth="1"/>
    <col min="8" max="8" width="9.140625" style="5"/>
    <col min="9" max="9" width="11.28515625" style="5" bestFit="1" customWidth="1"/>
    <col min="10" max="10" width="13.85546875" style="6" bestFit="1" customWidth="1"/>
    <col min="11" max="11" width="9.140625" style="5"/>
    <col min="12" max="12" width="13.85546875" style="6" bestFit="1" customWidth="1"/>
    <col min="13" max="13" width="3.85546875" style="5" customWidth="1"/>
    <col min="14" max="14" width="9.140625" style="5"/>
    <col min="15" max="15" width="10.28515625" style="5" bestFit="1" customWidth="1"/>
    <col min="16" max="16384" width="9.140625" style="5"/>
  </cols>
  <sheetData>
    <row r="1" spans="1:12" x14ac:dyDescent="0.25">
      <c r="A1" s="252"/>
      <c r="E1" s="22" t="s">
        <v>29</v>
      </c>
    </row>
    <row r="2" spans="1:12" x14ac:dyDescent="0.25">
      <c r="A2" s="252"/>
      <c r="E2" s="22" t="str">
        <f>+Cover!A5</f>
        <v>CAUSE NO. 45032-S13</v>
      </c>
    </row>
    <row r="3" spans="1:12" x14ac:dyDescent="0.25">
      <c r="A3" s="252"/>
      <c r="E3" s="22" t="s">
        <v>30</v>
      </c>
    </row>
    <row r="4" spans="1:12" x14ac:dyDescent="0.25">
      <c r="A4" s="252"/>
      <c r="B4" s="266" t="str">
        <f>+Cover!A1</f>
        <v>South Eastern Indiana Natural Gas</v>
      </c>
      <c r="C4" s="266"/>
      <c r="D4" s="266"/>
      <c r="E4" s="22"/>
    </row>
    <row r="5" spans="1:12" x14ac:dyDescent="0.25">
      <c r="A5" s="252"/>
      <c r="B5" s="267" t="s">
        <v>31</v>
      </c>
      <c r="C5" s="267"/>
      <c r="D5" s="267"/>
    </row>
    <row r="6" spans="1:12" x14ac:dyDescent="0.25">
      <c r="A6" s="252"/>
      <c r="B6" s="252"/>
      <c r="C6" s="252"/>
      <c r="D6" s="252"/>
    </row>
    <row r="7" spans="1:12" x14ac:dyDescent="0.25">
      <c r="A7" s="7" t="s">
        <v>32</v>
      </c>
      <c r="C7" s="8" t="s">
        <v>33</v>
      </c>
      <c r="D7" s="8" t="s">
        <v>34</v>
      </c>
      <c r="E7" s="9"/>
    </row>
    <row r="8" spans="1:12" x14ac:dyDescent="0.25">
      <c r="A8" s="252">
        <v>1</v>
      </c>
      <c r="B8" s="5" t="s">
        <v>35</v>
      </c>
      <c r="C8" s="6">
        <f>ROUND(SUM('(Pg 2) Clients TB'!G9:G27),0)</f>
        <v>2018586</v>
      </c>
      <c r="D8" s="6">
        <f>+C8</f>
        <v>2018586</v>
      </c>
      <c r="E8" s="6"/>
      <c r="G8" s="134">
        <f>+C8-'(Ex 2 Pg 1) NAV'!C26</f>
        <v>0.16999999969266355</v>
      </c>
      <c r="H8" s="135" t="s">
        <v>36</v>
      </c>
    </row>
    <row r="9" spans="1:12" x14ac:dyDescent="0.25">
      <c r="A9" s="252">
        <f>+A8+1</f>
        <v>2</v>
      </c>
      <c r="B9" s="5" t="s">
        <v>37</v>
      </c>
      <c r="C9" s="10">
        <f>ROUND('(Ex 2 Pg 3)Fed Depr'!G26,0)</f>
        <v>497579</v>
      </c>
      <c r="D9" s="10">
        <f>+C9</f>
        <v>497579</v>
      </c>
      <c r="E9" s="10"/>
      <c r="F9" s="11"/>
      <c r="G9" s="134">
        <f>+C9-'(Ex 2 Pg 1) NAV'!D26</f>
        <v>9.9999999918509275E-2</v>
      </c>
      <c r="H9" s="135" t="s">
        <v>36</v>
      </c>
    </row>
    <row r="10" spans="1:12" x14ac:dyDescent="0.25">
      <c r="A10" s="252">
        <f t="shared" ref="A10:A14" si="0">+A9+1</f>
        <v>3</v>
      </c>
      <c r="B10" s="5" t="s">
        <v>38</v>
      </c>
      <c r="C10" s="12"/>
      <c r="D10" s="12"/>
      <c r="E10" s="12"/>
      <c r="F10" s="13"/>
    </row>
    <row r="11" spans="1:12" x14ac:dyDescent="0.25">
      <c r="A11" s="252">
        <f t="shared" si="0"/>
        <v>4</v>
      </c>
      <c r="B11" s="14" t="s">
        <v>39</v>
      </c>
      <c r="C11" s="12">
        <f>ROUND('(Pg 6) Def Income Tax'!F15,0)</f>
        <v>-10406</v>
      </c>
      <c r="D11" s="12">
        <f>+C11</f>
        <v>-10406</v>
      </c>
      <c r="E11" s="12"/>
      <c r="F11" s="13"/>
      <c r="G11" s="15"/>
    </row>
    <row r="12" spans="1:12" x14ac:dyDescent="0.25">
      <c r="A12" s="252">
        <f t="shared" si="0"/>
        <v>5</v>
      </c>
      <c r="B12" s="14" t="s">
        <v>40</v>
      </c>
      <c r="C12" s="12">
        <f>ROUND('(Pg 6) Def Income Tax'!I18,0)</f>
        <v>68269</v>
      </c>
      <c r="D12" s="12">
        <f t="shared" ref="D12:D13" si="1">+C12</f>
        <v>68269</v>
      </c>
      <c r="E12" s="12"/>
      <c r="F12" s="13"/>
      <c r="G12" s="65"/>
      <c r="H12" s="66"/>
    </row>
    <row r="13" spans="1:12" x14ac:dyDescent="0.25">
      <c r="A13" s="252">
        <f t="shared" si="0"/>
        <v>6</v>
      </c>
      <c r="B13" s="14" t="s">
        <v>41</v>
      </c>
      <c r="C13" s="12">
        <f>ROUND('(Pg 6) Def Income Tax'!H16,0)</f>
        <v>42055</v>
      </c>
      <c r="D13" s="12">
        <f t="shared" si="1"/>
        <v>42055</v>
      </c>
      <c r="E13" s="12"/>
      <c r="F13" s="13"/>
      <c r="G13" s="65"/>
      <c r="H13" s="66"/>
    </row>
    <row r="14" spans="1:12" x14ac:dyDescent="0.25">
      <c r="A14" s="252">
        <f t="shared" si="0"/>
        <v>7</v>
      </c>
      <c r="B14" s="5" t="s">
        <v>42</v>
      </c>
      <c r="C14" s="16">
        <f>-C8+C9+SUM(C11:C13)</f>
        <v>-1421089</v>
      </c>
      <c r="D14" s="16">
        <f>-D8+D9+SUM(D11:D13)</f>
        <v>-1421089</v>
      </c>
      <c r="E14" s="6"/>
    </row>
    <row r="15" spans="1:12" x14ac:dyDescent="0.25">
      <c r="A15" s="252"/>
      <c r="G15" s="15"/>
    </row>
    <row r="16" spans="1:12" x14ac:dyDescent="0.25">
      <c r="A16" s="252"/>
      <c r="J16" s="5"/>
      <c r="L16" s="5"/>
    </row>
    <row r="17" spans="1:12" x14ac:dyDescent="0.25">
      <c r="A17" s="252">
        <f>+A14+1</f>
        <v>8</v>
      </c>
      <c r="B17" s="5" t="s">
        <v>43</v>
      </c>
      <c r="C17" s="17">
        <f>ROUND('(Pg 5) State Def Tax'!C15,0)</f>
        <v>-65539</v>
      </c>
      <c r="D17" s="17">
        <f>+C17</f>
        <v>-65539</v>
      </c>
      <c r="E17" s="17"/>
      <c r="J17" s="5"/>
      <c r="L17" s="5"/>
    </row>
    <row r="18" spans="1:12" x14ac:dyDescent="0.25">
      <c r="A18" s="252">
        <f>+A17+1</f>
        <v>9</v>
      </c>
      <c r="B18" s="5" t="s">
        <v>44</v>
      </c>
      <c r="C18" s="18">
        <f>+C14-C17</f>
        <v>-1355550</v>
      </c>
      <c r="D18" s="18">
        <f>+D14-D17</f>
        <v>-1355550</v>
      </c>
      <c r="E18" s="17"/>
      <c r="J18" s="5"/>
      <c r="L18" s="5"/>
    </row>
    <row r="19" spans="1:12" x14ac:dyDescent="0.25">
      <c r="A19" s="252">
        <f t="shared" ref="A19:A20" si="2">+A18+1</f>
        <v>10</v>
      </c>
      <c r="B19" s="5" t="s">
        <v>45</v>
      </c>
      <c r="C19" s="19">
        <v>0.21</v>
      </c>
      <c r="D19" s="19">
        <v>0.34</v>
      </c>
      <c r="E19" s="19"/>
      <c r="J19" s="5"/>
      <c r="L19" s="5"/>
    </row>
    <row r="20" spans="1:12" x14ac:dyDescent="0.25">
      <c r="A20" s="252">
        <f t="shared" si="2"/>
        <v>11</v>
      </c>
      <c r="B20" s="5" t="s">
        <v>46</v>
      </c>
      <c r="C20" s="16">
        <f>+C18*C19</f>
        <v>-284665.5</v>
      </c>
      <c r="D20" s="16">
        <f>+D18*D19</f>
        <v>-460887.00000000006</v>
      </c>
      <c r="E20" s="6"/>
      <c r="J20" s="5"/>
      <c r="L20" s="5"/>
    </row>
    <row r="21" spans="1:12" x14ac:dyDescent="0.25">
      <c r="A21" s="252"/>
      <c r="C21" s="6"/>
      <c r="D21" s="6"/>
      <c r="E21" s="6"/>
      <c r="F21" s="6"/>
      <c r="J21" s="5"/>
      <c r="L21" s="5"/>
    </row>
    <row r="22" spans="1:12" x14ac:dyDescent="0.25">
      <c r="A22" s="252">
        <f>+A20+1</f>
        <v>12</v>
      </c>
      <c r="B22" s="13" t="s">
        <v>47</v>
      </c>
      <c r="C22" s="12">
        <v>-460887</v>
      </c>
      <c r="D22" s="21"/>
      <c r="E22" s="12"/>
      <c r="F22" s="6"/>
      <c r="J22" s="5"/>
      <c r="L22" s="5"/>
    </row>
    <row r="23" spans="1:12" x14ac:dyDescent="0.25">
      <c r="A23" s="252">
        <f>+A22+1</f>
        <v>13</v>
      </c>
      <c r="B23" s="13" t="s">
        <v>48</v>
      </c>
      <c r="C23" s="12">
        <f>+C20</f>
        <v>-284665.5</v>
      </c>
      <c r="D23" s="12"/>
      <c r="E23" s="12"/>
      <c r="F23" s="6"/>
      <c r="J23" s="5"/>
      <c r="L23" s="5"/>
    </row>
    <row r="24" spans="1:12" ht="15.75" thickBot="1" x14ac:dyDescent="0.3">
      <c r="A24" s="252">
        <f>+A23+1</f>
        <v>14</v>
      </c>
      <c r="B24" s="13" t="s">
        <v>49</v>
      </c>
      <c r="C24" s="136">
        <f>+C22-C23</f>
        <v>-176221.5</v>
      </c>
      <c r="D24" s="137"/>
      <c r="E24" s="12"/>
      <c r="F24" s="6"/>
      <c r="J24" s="5"/>
      <c r="L24" s="5"/>
    </row>
    <row r="25" spans="1:12" ht="15.75" thickTop="1" x14ac:dyDescent="0.25">
      <c r="A25" s="252"/>
      <c r="B25" s="13"/>
      <c r="C25" s="12"/>
      <c r="D25" s="137"/>
      <c r="E25" s="12"/>
      <c r="F25" s="6"/>
      <c r="I25" s="17"/>
      <c r="J25" s="5"/>
      <c r="L25" s="5"/>
    </row>
    <row r="26" spans="1:12" x14ac:dyDescent="0.25">
      <c r="A26" s="252"/>
      <c r="B26" s="5" t="s">
        <v>50</v>
      </c>
      <c r="C26" s="6"/>
      <c r="D26" s="6"/>
      <c r="E26" s="6"/>
      <c r="F26" s="6"/>
      <c r="J26" s="5"/>
      <c r="L26" s="5"/>
    </row>
    <row r="27" spans="1:12" x14ac:dyDescent="0.25">
      <c r="A27" s="252"/>
      <c r="C27" s="8" t="s">
        <v>33</v>
      </c>
      <c r="D27" s="8" t="s">
        <v>34</v>
      </c>
      <c r="J27" s="5"/>
      <c r="L27" s="5"/>
    </row>
    <row r="28" spans="1:12" s="13" customFormat="1" x14ac:dyDescent="0.25">
      <c r="A28" s="254">
        <f>+A24+1</f>
        <v>15</v>
      </c>
      <c r="B28" s="124" t="s">
        <v>39</v>
      </c>
      <c r="C28" s="41">
        <f>+C11</f>
        <v>-10406</v>
      </c>
      <c r="D28" s="41">
        <f>+C28</f>
        <v>-10406</v>
      </c>
    </row>
    <row r="29" spans="1:12" s="13" customFormat="1" x14ac:dyDescent="0.25">
      <c r="A29" s="254">
        <f>+A28+1</f>
        <v>16</v>
      </c>
      <c r="B29" s="124" t="s">
        <v>40</v>
      </c>
      <c r="C29" s="41">
        <f>+C12</f>
        <v>68269</v>
      </c>
      <c r="D29" s="41">
        <f t="shared" ref="D29:D30" si="3">+C29</f>
        <v>68269</v>
      </c>
    </row>
    <row r="30" spans="1:12" s="13" customFormat="1" x14ac:dyDescent="0.25">
      <c r="A30" s="254">
        <f t="shared" ref="A30:A33" si="4">+A29+1</f>
        <v>17</v>
      </c>
      <c r="B30" s="124" t="s">
        <v>41</v>
      </c>
      <c r="C30" s="41">
        <f>+C13</f>
        <v>42055</v>
      </c>
      <c r="D30" s="41">
        <f t="shared" si="3"/>
        <v>42055</v>
      </c>
    </row>
    <row r="31" spans="1:12" s="13" customFormat="1" x14ac:dyDescent="0.25">
      <c r="A31" s="254">
        <f t="shared" si="4"/>
        <v>18</v>
      </c>
      <c r="C31" s="89">
        <f>SUM(C28:C30)</f>
        <v>99918</v>
      </c>
      <c r="D31" s="89">
        <f>SUM(D28:D30)</f>
        <v>99918</v>
      </c>
      <c r="J31" s="12"/>
      <c r="L31" s="12"/>
    </row>
    <row r="32" spans="1:12" s="13" customFormat="1" x14ac:dyDescent="0.25">
      <c r="A32" s="254">
        <f>+A31+1</f>
        <v>19</v>
      </c>
      <c r="B32" s="13" t="s">
        <v>45</v>
      </c>
      <c r="C32" s="123">
        <v>0.21</v>
      </c>
      <c r="D32" s="123">
        <v>0.34</v>
      </c>
      <c r="H32" s="125"/>
      <c r="J32" s="12"/>
      <c r="L32" s="12"/>
    </row>
    <row r="33" spans="1:12" s="13" customFormat="1" x14ac:dyDescent="0.25">
      <c r="A33" s="254">
        <f t="shared" si="4"/>
        <v>20</v>
      </c>
      <c r="B33" s="13" t="s">
        <v>51</v>
      </c>
      <c r="C33" s="20">
        <f>+C31*C32</f>
        <v>20982.78</v>
      </c>
      <c r="D33" s="20">
        <f>+D31*D32</f>
        <v>33972.120000000003</v>
      </c>
      <c r="J33" s="12"/>
      <c r="L33" s="12"/>
    </row>
    <row r="35" spans="1:12" x14ac:dyDescent="0.25">
      <c r="A35" s="252">
        <f>+A33+1</f>
        <v>21</v>
      </c>
      <c r="B35" s="5" t="s">
        <v>52</v>
      </c>
      <c r="C35" s="17">
        <f>+C33</f>
        <v>20982.78</v>
      </c>
    </row>
    <row r="36" spans="1:12" x14ac:dyDescent="0.25">
      <c r="A36" s="252">
        <f>+A35+1</f>
        <v>22</v>
      </c>
      <c r="B36" s="5" t="s">
        <v>53</v>
      </c>
      <c r="C36" s="17">
        <f>+D33</f>
        <v>33972.120000000003</v>
      </c>
    </row>
    <row r="37" spans="1:12" ht="15.75" thickBot="1" x14ac:dyDescent="0.3">
      <c r="A37" s="252">
        <f>+A36+1</f>
        <v>23</v>
      </c>
      <c r="B37" s="5" t="s">
        <v>54</v>
      </c>
      <c r="C37" s="32">
        <f>+C35-C36</f>
        <v>-12989.340000000004</v>
      </c>
    </row>
    <row r="38" spans="1:12" ht="15.75" thickTop="1" x14ac:dyDescent="0.25">
      <c r="A38" s="252"/>
      <c r="C38" s="42"/>
    </row>
    <row r="39" spans="1:12" x14ac:dyDescent="0.25">
      <c r="A39" s="252">
        <f>+A37+1</f>
        <v>24</v>
      </c>
      <c r="B39" s="5" t="str">
        <f>+B17</f>
        <v>State Deferred Tax Estimate, Exhibit 1 Page 5</v>
      </c>
      <c r="C39" s="42">
        <f>+'(Pg 5) State Def Tax'!C15</f>
        <v>-65538.546000000002</v>
      </c>
    </row>
    <row r="40" spans="1:12" x14ac:dyDescent="0.25">
      <c r="A40" s="252">
        <f>+A39+1</f>
        <v>25</v>
      </c>
      <c r="B40" s="5" t="s">
        <v>55</v>
      </c>
      <c r="C40" s="151">
        <v>0.13</v>
      </c>
    </row>
    <row r="41" spans="1:12" x14ac:dyDescent="0.25">
      <c r="A41" s="252">
        <f>+A40+1</f>
        <v>26</v>
      </c>
      <c r="C41" s="152">
        <f>+C39*C40</f>
        <v>-8520.0109800000009</v>
      </c>
    </row>
    <row r="42" spans="1:12" x14ac:dyDescent="0.25">
      <c r="A42" s="252"/>
      <c r="C42" s="42"/>
    </row>
    <row r="43" spans="1:12" ht="15.75" thickBot="1" x14ac:dyDescent="0.3">
      <c r="A43" s="252">
        <f>+A41+1</f>
        <v>27</v>
      </c>
      <c r="B43" s="5" t="s">
        <v>56</v>
      </c>
      <c r="C43" s="32">
        <f>+C37+C41</f>
        <v>-21509.350980000003</v>
      </c>
      <c r="D43" s="17"/>
    </row>
    <row r="44" spans="1:12" ht="15.75" thickTop="1" x14ac:dyDescent="0.25">
      <c r="A44" s="252"/>
      <c r="D44" s="17"/>
    </row>
  </sheetData>
  <mergeCells count="2">
    <mergeCell ref="B4:D4"/>
    <mergeCell ref="B5:D5"/>
  </mergeCells>
  <pageMargins left="0.7" right="0.7" top="0.75" bottom="0.75" header="0.3" footer="0.3"/>
  <pageSetup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9"/>
  <sheetViews>
    <sheetView view="pageBreakPreview" zoomScaleNormal="100" zoomScaleSheetLayoutView="100" workbookViewId="0">
      <selection activeCell="E34" sqref="E34"/>
    </sheetView>
  </sheetViews>
  <sheetFormatPr defaultRowHeight="12.75" x14ac:dyDescent="0.2"/>
  <cols>
    <col min="1" max="1" width="8.7109375" style="59" customWidth="1"/>
    <col min="2" max="2" width="10.7109375" style="60" customWidth="1"/>
    <col min="3" max="3" width="38.140625" style="60" bestFit="1" customWidth="1"/>
    <col min="4" max="4" width="4.85546875" style="60" customWidth="1"/>
    <col min="5" max="5" width="16.5703125" style="60" customWidth="1"/>
    <col min="6" max="6" width="6.42578125" style="60" customWidth="1"/>
    <col min="7" max="7" width="16.5703125" style="60" customWidth="1"/>
    <col min="8" max="8" width="7.28515625" style="69" customWidth="1"/>
    <col min="9" max="9" width="12.140625" style="69" bestFit="1" customWidth="1"/>
    <col min="10" max="242" width="8.85546875" style="60"/>
    <col min="243" max="243" width="4.5703125" style="60" customWidth="1"/>
    <col min="244" max="244" width="14.7109375" style="60" customWidth="1"/>
    <col min="245" max="245" width="16.5703125" style="60" customWidth="1"/>
    <col min="246" max="246" width="8.28515625" style="60" customWidth="1"/>
    <col min="247" max="247" width="4.7109375" style="60" customWidth="1"/>
    <col min="248" max="248" width="5.85546875" style="60" customWidth="1"/>
    <col min="249" max="249" width="4.28515625" style="60" customWidth="1"/>
    <col min="250" max="250" width="4.85546875" style="60" customWidth="1"/>
    <col min="251" max="251" width="16.5703125" style="60" customWidth="1"/>
    <col min="252" max="252" width="14.140625" style="60" customWidth="1"/>
    <col min="253" max="254" width="16.5703125" style="60" customWidth="1"/>
    <col min="255" max="255" width="9.5703125" style="60" customWidth="1"/>
    <col min="256" max="498" width="8.85546875" style="60"/>
    <col min="499" max="499" width="4.5703125" style="60" customWidth="1"/>
    <col min="500" max="500" width="14.7109375" style="60" customWidth="1"/>
    <col min="501" max="501" width="16.5703125" style="60" customWidth="1"/>
    <col min="502" max="502" width="8.28515625" style="60" customWidth="1"/>
    <col min="503" max="503" width="4.7109375" style="60" customWidth="1"/>
    <col min="504" max="504" width="5.85546875" style="60" customWidth="1"/>
    <col min="505" max="505" width="4.28515625" style="60" customWidth="1"/>
    <col min="506" max="506" width="4.85546875" style="60" customWidth="1"/>
    <col min="507" max="507" width="16.5703125" style="60" customWidth="1"/>
    <col min="508" max="508" width="14.140625" style="60" customWidth="1"/>
    <col min="509" max="510" width="16.5703125" style="60" customWidth="1"/>
    <col min="511" max="511" width="9.5703125" style="60" customWidth="1"/>
    <col min="512" max="754" width="8.85546875" style="60"/>
    <col min="755" max="755" width="4.5703125" style="60" customWidth="1"/>
    <col min="756" max="756" width="14.7109375" style="60" customWidth="1"/>
    <col min="757" max="757" width="16.5703125" style="60" customWidth="1"/>
    <col min="758" max="758" width="8.28515625" style="60" customWidth="1"/>
    <col min="759" max="759" width="4.7109375" style="60" customWidth="1"/>
    <col min="760" max="760" width="5.85546875" style="60" customWidth="1"/>
    <col min="761" max="761" width="4.28515625" style="60" customWidth="1"/>
    <col min="762" max="762" width="4.85546875" style="60" customWidth="1"/>
    <col min="763" max="763" width="16.5703125" style="60" customWidth="1"/>
    <col min="764" max="764" width="14.140625" style="60" customWidth="1"/>
    <col min="765" max="766" width="16.5703125" style="60" customWidth="1"/>
    <col min="767" max="767" width="9.5703125" style="60" customWidth="1"/>
    <col min="768" max="1010" width="8.85546875" style="60"/>
    <col min="1011" max="1011" width="4.5703125" style="60" customWidth="1"/>
    <col min="1012" max="1012" width="14.7109375" style="60" customWidth="1"/>
    <col min="1013" max="1013" width="16.5703125" style="60" customWidth="1"/>
    <col min="1014" max="1014" width="8.28515625" style="60" customWidth="1"/>
    <col min="1015" max="1015" width="4.7109375" style="60" customWidth="1"/>
    <col min="1016" max="1016" width="5.85546875" style="60" customWidth="1"/>
    <col min="1017" max="1017" width="4.28515625" style="60" customWidth="1"/>
    <col min="1018" max="1018" width="4.85546875" style="60" customWidth="1"/>
    <col min="1019" max="1019" width="16.5703125" style="60" customWidth="1"/>
    <col min="1020" max="1020" width="14.140625" style="60" customWidth="1"/>
    <col min="1021" max="1022" width="16.5703125" style="60" customWidth="1"/>
    <col min="1023" max="1023" width="9.5703125" style="60" customWidth="1"/>
    <col min="1024" max="1266" width="8.85546875" style="60"/>
    <col min="1267" max="1267" width="4.5703125" style="60" customWidth="1"/>
    <col min="1268" max="1268" width="14.7109375" style="60" customWidth="1"/>
    <col min="1269" max="1269" width="16.5703125" style="60" customWidth="1"/>
    <col min="1270" max="1270" width="8.28515625" style="60" customWidth="1"/>
    <col min="1271" max="1271" width="4.7109375" style="60" customWidth="1"/>
    <col min="1272" max="1272" width="5.85546875" style="60" customWidth="1"/>
    <col min="1273" max="1273" width="4.28515625" style="60" customWidth="1"/>
    <col min="1274" max="1274" width="4.85546875" style="60" customWidth="1"/>
    <col min="1275" max="1275" width="16.5703125" style="60" customWidth="1"/>
    <col min="1276" max="1276" width="14.140625" style="60" customWidth="1"/>
    <col min="1277" max="1278" width="16.5703125" style="60" customWidth="1"/>
    <col min="1279" max="1279" width="9.5703125" style="60" customWidth="1"/>
    <col min="1280" max="1522" width="8.85546875" style="60"/>
    <col min="1523" max="1523" width="4.5703125" style="60" customWidth="1"/>
    <col min="1524" max="1524" width="14.7109375" style="60" customWidth="1"/>
    <col min="1525" max="1525" width="16.5703125" style="60" customWidth="1"/>
    <col min="1526" max="1526" width="8.28515625" style="60" customWidth="1"/>
    <col min="1527" max="1527" width="4.7109375" style="60" customWidth="1"/>
    <col min="1528" max="1528" width="5.85546875" style="60" customWidth="1"/>
    <col min="1529" max="1529" width="4.28515625" style="60" customWidth="1"/>
    <col min="1530" max="1530" width="4.85546875" style="60" customWidth="1"/>
    <col min="1531" max="1531" width="16.5703125" style="60" customWidth="1"/>
    <col min="1532" max="1532" width="14.140625" style="60" customWidth="1"/>
    <col min="1533" max="1534" width="16.5703125" style="60" customWidth="1"/>
    <col min="1535" max="1535" width="9.5703125" style="60" customWidth="1"/>
    <col min="1536" max="1778" width="8.85546875" style="60"/>
    <col min="1779" max="1779" width="4.5703125" style="60" customWidth="1"/>
    <col min="1780" max="1780" width="14.7109375" style="60" customWidth="1"/>
    <col min="1781" max="1781" width="16.5703125" style="60" customWidth="1"/>
    <col min="1782" max="1782" width="8.28515625" style="60" customWidth="1"/>
    <col min="1783" max="1783" width="4.7109375" style="60" customWidth="1"/>
    <col min="1784" max="1784" width="5.85546875" style="60" customWidth="1"/>
    <col min="1785" max="1785" width="4.28515625" style="60" customWidth="1"/>
    <col min="1786" max="1786" width="4.85546875" style="60" customWidth="1"/>
    <col min="1787" max="1787" width="16.5703125" style="60" customWidth="1"/>
    <col min="1788" max="1788" width="14.140625" style="60" customWidth="1"/>
    <col min="1789" max="1790" width="16.5703125" style="60" customWidth="1"/>
    <col min="1791" max="1791" width="9.5703125" style="60" customWidth="1"/>
    <col min="1792" max="2034" width="8.85546875" style="60"/>
    <col min="2035" max="2035" width="4.5703125" style="60" customWidth="1"/>
    <col min="2036" max="2036" width="14.7109375" style="60" customWidth="1"/>
    <col min="2037" max="2037" width="16.5703125" style="60" customWidth="1"/>
    <col min="2038" max="2038" width="8.28515625" style="60" customWidth="1"/>
    <col min="2039" max="2039" width="4.7109375" style="60" customWidth="1"/>
    <col min="2040" max="2040" width="5.85546875" style="60" customWidth="1"/>
    <col min="2041" max="2041" width="4.28515625" style="60" customWidth="1"/>
    <col min="2042" max="2042" width="4.85546875" style="60" customWidth="1"/>
    <col min="2043" max="2043" width="16.5703125" style="60" customWidth="1"/>
    <col min="2044" max="2044" width="14.140625" style="60" customWidth="1"/>
    <col min="2045" max="2046" width="16.5703125" style="60" customWidth="1"/>
    <col min="2047" max="2047" width="9.5703125" style="60" customWidth="1"/>
    <col min="2048" max="2290" width="8.85546875" style="60"/>
    <col min="2291" max="2291" width="4.5703125" style="60" customWidth="1"/>
    <col min="2292" max="2292" width="14.7109375" style="60" customWidth="1"/>
    <col min="2293" max="2293" width="16.5703125" style="60" customWidth="1"/>
    <col min="2294" max="2294" width="8.28515625" style="60" customWidth="1"/>
    <col min="2295" max="2295" width="4.7109375" style="60" customWidth="1"/>
    <col min="2296" max="2296" width="5.85546875" style="60" customWidth="1"/>
    <col min="2297" max="2297" width="4.28515625" style="60" customWidth="1"/>
    <col min="2298" max="2298" width="4.85546875" style="60" customWidth="1"/>
    <col min="2299" max="2299" width="16.5703125" style="60" customWidth="1"/>
    <col min="2300" max="2300" width="14.140625" style="60" customWidth="1"/>
    <col min="2301" max="2302" width="16.5703125" style="60" customWidth="1"/>
    <col min="2303" max="2303" width="9.5703125" style="60" customWidth="1"/>
    <col min="2304" max="2546" width="8.85546875" style="60"/>
    <col min="2547" max="2547" width="4.5703125" style="60" customWidth="1"/>
    <col min="2548" max="2548" width="14.7109375" style="60" customWidth="1"/>
    <col min="2549" max="2549" width="16.5703125" style="60" customWidth="1"/>
    <col min="2550" max="2550" width="8.28515625" style="60" customWidth="1"/>
    <col min="2551" max="2551" width="4.7109375" style="60" customWidth="1"/>
    <col min="2552" max="2552" width="5.85546875" style="60" customWidth="1"/>
    <col min="2553" max="2553" width="4.28515625" style="60" customWidth="1"/>
    <col min="2554" max="2554" width="4.85546875" style="60" customWidth="1"/>
    <col min="2555" max="2555" width="16.5703125" style="60" customWidth="1"/>
    <col min="2556" max="2556" width="14.140625" style="60" customWidth="1"/>
    <col min="2557" max="2558" width="16.5703125" style="60" customWidth="1"/>
    <col min="2559" max="2559" width="9.5703125" style="60" customWidth="1"/>
    <col min="2560" max="2802" width="8.85546875" style="60"/>
    <col min="2803" max="2803" width="4.5703125" style="60" customWidth="1"/>
    <col min="2804" max="2804" width="14.7109375" style="60" customWidth="1"/>
    <col min="2805" max="2805" width="16.5703125" style="60" customWidth="1"/>
    <col min="2806" max="2806" width="8.28515625" style="60" customWidth="1"/>
    <col min="2807" max="2807" width="4.7109375" style="60" customWidth="1"/>
    <col min="2808" max="2808" width="5.85546875" style="60" customWidth="1"/>
    <col min="2809" max="2809" width="4.28515625" style="60" customWidth="1"/>
    <col min="2810" max="2810" width="4.85546875" style="60" customWidth="1"/>
    <col min="2811" max="2811" width="16.5703125" style="60" customWidth="1"/>
    <col min="2812" max="2812" width="14.140625" style="60" customWidth="1"/>
    <col min="2813" max="2814" width="16.5703125" style="60" customWidth="1"/>
    <col min="2815" max="2815" width="9.5703125" style="60" customWidth="1"/>
    <col min="2816" max="3058" width="8.85546875" style="60"/>
    <col min="3059" max="3059" width="4.5703125" style="60" customWidth="1"/>
    <col min="3060" max="3060" width="14.7109375" style="60" customWidth="1"/>
    <col min="3061" max="3061" width="16.5703125" style="60" customWidth="1"/>
    <col min="3062" max="3062" width="8.28515625" style="60" customWidth="1"/>
    <col min="3063" max="3063" width="4.7109375" style="60" customWidth="1"/>
    <col min="3064" max="3064" width="5.85546875" style="60" customWidth="1"/>
    <col min="3065" max="3065" width="4.28515625" style="60" customWidth="1"/>
    <col min="3066" max="3066" width="4.85546875" style="60" customWidth="1"/>
    <col min="3067" max="3067" width="16.5703125" style="60" customWidth="1"/>
    <col min="3068" max="3068" width="14.140625" style="60" customWidth="1"/>
    <col min="3069" max="3070" width="16.5703125" style="60" customWidth="1"/>
    <col min="3071" max="3071" width="9.5703125" style="60" customWidth="1"/>
    <col min="3072" max="3314" width="8.85546875" style="60"/>
    <col min="3315" max="3315" width="4.5703125" style="60" customWidth="1"/>
    <col min="3316" max="3316" width="14.7109375" style="60" customWidth="1"/>
    <col min="3317" max="3317" width="16.5703125" style="60" customWidth="1"/>
    <col min="3318" max="3318" width="8.28515625" style="60" customWidth="1"/>
    <col min="3319" max="3319" width="4.7109375" style="60" customWidth="1"/>
    <col min="3320" max="3320" width="5.85546875" style="60" customWidth="1"/>
    <col min="3321" max="3321" width="4.28515625" style="60" customWidth="1"/>
    <col min="3322" max="3322" width="4.85546875" style="60" customWidth="1"/>
    <col min="3323" max="3323" width="16.5703125" style="60" customWidth="1"/>
    <col min="3324" max="3324" width="14.140625" style="60" customWidth="1"/>
    <col min="3325" max="3326" width="16.5703125" style="60" customWidth="1"/>
    <col min="3327" max="3327" width="9.5703125" style="60" customWidth="1"/>
    <col min="3328" max="3570" width="8.85546875" style="60"/>
    <col min="3571" max="3571" width="4.5703125" style="60" customWidth="1"/>
    <col min="3572" max="3572" width="14.7109375" style="60" customWidth="1"/>
    <col min="3573" max="3573" width="16.5703125" style="60" customWidth="1"/>
    <col min="3574" max="3574" width="8.28515625" style="60" customWidth="1"/>
    <col min="3575" max="3575" width="4.7109375" style="60" customWidth="1"/>
    <col min="3576" max="3576" width="5.85546875" style="60" customWidth="1"/>
    <col min="3577" max="3577" width="4.28515625" style="60" customWidth="1"/>
    <col min="3578" max="3578" width="4.85546875" style="60" customWidth="1"/>
    <col min="3579" max="3579" width="16.5703125" style="60" customWidth="1"/>
    <col min="3580" max="3580" width="14.140625" style="60" customWidth="1"/>
    <col min="3581" max="3582" width="16.5703125" style="60" customWidth="1"/>
    <col min="3583" max="3583" width="9.5703125" style="60" customWidth="1"/>
    <col min="3584" max="3826" width="8.85546875" style="60"/>
    <col min="3827" max="3827" width="4.5703125" style="60" customWidth="1"/>
    <col min="3828" max="3828" width="14.7109375" style="60" customWidth="1"/>
    <col min="3829" max="3829" width="16.5703125" style="60" customWidth="1"/>
    <col min="3830" max="3830" width="8.28515625" style="60" customWidth="1"/>
    <col min="3831" max="3831" width="4.7109375" style="60" customWidth="1"/>
    <col min="3832" max="3832" width="5.85546875" style="60" customWidth="1"/>
    <col min="3833" max="3833" width="4.28515625" style="60" customWidth="1"/>
    <col min="3834" max="3834" width="4.85546875" style="60" customWidth="1"/>
    <col min="3835" max="3835" width="16.5703125" style="60" customWidth="1"/>
    <col min="3836" max="3836" width="14.140625" style="60" customWidth="1"/>
    <col min="3837" max="3838" width="16.5703125" style="60" customWidth="1"/>
    <col min="3839" max="3839" width="9.5703125" style="60" customWidth="1"/>
    <col min="3840" max="4082" width="8.85546875" style="60"/>
    <col min="4083" max="4083" width="4.5703125" style="60" customWidth="1"/>
    <col min="4084" max="4084" width="14.7109375" style="60" customWidth="1"/>
    <col min="4085" max="4085" width="16.5703125" style="60" customWidth="1"/>
    <col min="4086" max="4086" width="8.28515625" style="60" customWidth="1"/>
    <col min="4087" max="4087" width="4.7109375" style="60" customWidth="1"/>
    <col min="4088" max="4088" width="5.85546875" style="60" customWidth="1"/>
    <col min="4089" max="4089" width="4.28515625" style="60" customWidth="1"/>
    <col min="4090" max="4090" width="4.85546875" style="60" customWidth="1"/>
    <col min="4091" max="4091" width="16.5703125" style="60" customWidth="1"/>
    <col min="4092" max="4092" width="14.140625" style="60" customWidth="1"/>
    <col min="4093" max="4094" width="16.5703125" style="60" customWidth="1"/>
    <col min="4095" max="4095" width="9.5703125" style="60" customWidth="1"/>
    <col min="4096" max="4338" width="8.85546875" style="60"/>
    <col min="4339" max="4339" width="4.5703125" style="60" customWidth="1"/>
    <col min="4340" max="4340" width="14.7109375" style="60" customWidth="1"/>
    <col min="4341" max="4341" width="16.5703125" style="60" customWidth="1"/>
    <col min="4342" max="4342" width="8.28515625" style="60" customWidth="1"/>
    <col min="4343" max="4343" width="4.7109375" style="60" customWidth="1"/>
    <col min="4344" max="4344" width="5.85546875" style="60" customWidth="1"/>
    <col min="4345" max="4345" width="4.28515625" style="60" customWidth="1"/>
    <col min="4346" max="4346" width="4.85546875" style="60" customWidth="1"/>
    <col min="4347" max="4347" width="16.5703125" style="60" customWidth="1"/>
    <col min="4348" max="4348" width="14.140625" style="60" customWidth="1"/>
    <col min="4349" max="4350" width="16.5703125" style="60" customWidth="1"/>
    <col min="4351" max="4351" width="9.5703125" style="60" customWidth="1"/>
    <col min="4352" max="4594" width="8.85546875" style="60"/>
    <col min="4595" max="4595" width="4.5703125" style="60" customWidth="1"/>
    <col min="4596" max="4596" width="14.7109375" style="60" customWidth="1"/>
    <col min="4597" max="4597" width="16.5703125" style="60" customWidth="1"/>
    <col min="4598" max="4598" width="8.28515625" style="60" customWidth="1"/>
    <col min="4599" max="4599" width="4.7109375" style="60" customWidth="1"/>
    <col min="4600" max="4600" width="5.85546875" style="60" customWidth="1"/>
    <col min="4601" max="4601" width="4.28515625" style="60" customWidth="1"/>
    <col min="4602" max="4602" width="4.85546875" style="60" customWidth="1"/>
    <col min="4603" max="4603" width="16.5703125" style="60" customWidth="1"/>
    <col min="4604" max="4604" width="14.140625" style="60" customWidth="1"/>
    <col min="4605" max="4606" width="16.5703125" style="60" customWidth="1"/>
    <col min="4607" max="4607" width="9.5703125" style="60" customWidth="1"/>
    <col min="4608" max="4850" width="8.85546875" style="60"/>
    <col min="4851" max="4851" width="4.5703125" style="60" customWidth="1"/>
    <col min="4852" max="4852" width="14.7109375" style="60" customWidth="1"/>
    <col min="4853" max="4853" width="16.5703125" style="60" customWidth="1"/>
    <col min="4854" max="4854" width="8.28515625" style="60" customWidth="1"/>
    <col min="4855" max="4855" width="4.7109375" style="60" customWidth="1"/>
    <col min="4856" max="4856" width="5.85546875" style="60" customWidth="1"/>
    <col min="4857" max="4857" width="4.28515625" style="60" customWidth="1"/>
    <col min="4858" max="4858" width="4.85546875" style="60" customWidth="1"/>
    <col min="4859" max="4859" width="16.5703125" style="60" customWidth="1"/>
    <col min="4860" max="4860" width="14.140625" style="60" customWidth="1"/>
    <col min="4861" max="4862" width="16.5703125" style="60" customWidth="1"/>
    <col min="4863" max="4863" width="9.5703125" style="60" customWidth="1"/>
    <col min="4864" max="5106" width="8.85546875" style="60"/>
    <col min="5107" max="5107" width="4.5703125" style="60" customWidth="1"/>
    <col min="5108" max="5108" width="14.7109375" style="60" customWidth="1"/>
    <col min="5109" max="5109" width="16.5703125" style="60" customWidth="1"/>
    <col min="5110" max="5110" width="8.28515625" style="60" customWidth="1"/>
    <col min="5111" max="5111" width="4.7109375" style="60" customWidth="1"/>
    <col min="5112" max="5112" width="5.85546875" style="60" customWidth="1"/>
    <col min="5113" max="5113" width="4.28515625" style="60" customWidth="1"/>
    <col min="5114" max="5114" width="4.85546875" style="60" customWidth="1"/>
    <col min="5115" max="5115" width="16.5703125" style="60" customWidth="1"/>
    <col min="5116" max="5116" width="14.140625" style="60" customWidth="1"/>
    <col min="5117" max="5118" width="16.5703125" style="60" customWidth="1"/>
    <col min="5119" max="5119" width="9.5703125" style="60" customWidth="1"/>
    <col min="5120" max="5362" width="8.85546875" style="60"/>
    <col min="5363" max="5363" width="4.5703125" style="60" customWidth="1"/>
    <col min="5364" max="5364" width="14.7109375" style="60" customWidth="1"/>
    <col min="5365" max="5365" width="16.5703125" style="60" customWidth="1"/>
    <col min="5366" max="5366" width="8.28515625" style="60" customWidth="1"/>
    <col min="5367" max="5367" width="4.7109375" style="60" customWidth="1"/>
    <col min="5368" max="5368" width="5.85546875" style="60" customWidth="1"/>
    <col min="5369" max="5369" width="4.28515625" style="60" customWidth="1"/>
    <col min="5370" max="5370" width="4.85546875" style="60" customWidth="1"/>
    <col min="5371" max="5371" width="16.5703125" style="60" customWidth="1"/>
    <col min="5372" max="5372" width="14.140625" style="60" customWidth="1"/>
    <col min="5373" max="5374" width="16.5703125" style="60" customWidth="1"/>
    <col min="5375" max="5375" width="9.5703125" style="60" customWidth="1"/>
    <col min="5376" max="5618" width="8.85546875" style="60"/>
    <col min="5619" max="5619" width="4.5703125" style="60" customWidth="1"/>
    <col min="5620" max="5620" width="14.7109375" style="60" customWidth="1"/>
    <col min="5621" max="5621" width="16.5703125" style="60" customWidth="1"/>
    <col min="5622" max="5622" width="8.28515625" style="60" customWidth="1"/>
    <col min="5623" max="5623" width="4.7109375" style="60" customWidth="1"/>
    <col min="5624" max="5624" width="5.85546875" style="60" customWidth="1"/>
    <col min="5625" max="5625" width="4.28515625" style="60" customWidth="1"/>
    <col min="5626" max="5626" width="4.85546875" style="60" customWidth="1"/>
    <col min="5627" max="5627" width="16.5703125" style="60" customWidth="1"/>
    <col min="5628" max="5628" width="14.140625" style="60" customWidth="1"/>
    <col min="5629" max="5630" width="16.5703125" style="60" customWidth="1"/>
    <col min="5631" max="5631" width="9.5703125" style="60" customWidth="1"/>
    <col min="5632" max="5874" width="8.85546875" style="60"/>
    <col min="5875" max="5875" width="4.5703125" style="60" customWidth="1"/>
    <col min="5876" max="5876" width="14.7109375" style="60" customWidth="1"/>
    <col min="5877" max="5877" width="16.5703125" style="60" customWidth="1"/>
    <col min="5878" max="5878" width="8.28515625" style="60" customWidth="1"/>
    <col min="5879" max="5879" width="4.7109375" style="60" customWidth="1"/>
    <col min="5880" max="5880" width="5.85546875" style="60" customWidth="1"/>
    <col min="5881" max="5881" width="4.28515625" style="60" customWidth="1"/>
    <col min="5882" max="5882" width="4.85546875" style="60" customWidth="1"/>
    <col min="5883" max="5883" width="16.5703125" style="60" customWidth="1"/>
    <col min="5884" max="5884" width="14.140625" style="60" customWidth="1"/>
    <col min="5885" max="5886" width="16.5703125" style="60" customWidth="1"/>
    <col min="5887" max="5887" width="9.5703125" style="60" customWidth="1"/>
    <col min="5888" max="6130" width="8.85546875" style="60"/>
    <col min="6131" max="6131" width="4.5703125" style="60" customWidth="1"/>
    <col min="6132" max="6132" width="14.7109375" style="60" customWidth="1"/>
    <col min="6133" max="6133" width="16.5703125" style="60" customWidth="1"/>
    <col min="6134" max="6134" width="8.28515625" style="60" customWidth="1"/>
    <col min="6135" max="6135" width="4.7109375" style="60" customWidth="1"/>
    <col min="6136" max="6136" width="5.85546875" style="60" customWidth="1"/>
    <col min="6137" max="6137" width="4.28515625" style="60" customWidth="1"/>
    <col min="6138" max="6138" width="4.85546875" style="60" customWidth="1"/>
    <col min="6139" max="6139" width="16.5703125" style="60" customWidth="1"/>
    <col min="6140" max="6140" width="14.140625" style="60" customWidth="1"/>
    <col min="6141" max="6142" width="16.5703125" style="60" customWidth="1"/>
    <col min="6143" max="6143" width="9.5703125" style="60" customWidth="1"/>
    <col min="6144" max="6386" width="8.85546875" style="60"/>
    <col min="6387" max="6387" width="4.5703125" style="60" customWidth="1"/>
    <col min="6388" max="6388" width="14.7109375" style="60" customWidth="1"/>
    <col min="6389" max="6389" width="16.5703125" style="60" customWidth="1"/>
    <col min="6390" max="6390" width="8.28515625" style="60" customWidth="1"/>
    <col min="6391" max="6391" width="4.7109375" style="60" customWidth="1"/>
    <col min="6392" max="6392" width="5.85546875" style="60" customWidth="1"/>
    <col min="6393" max="6393" width="4.28515625" style="60" customWidth="1"/>
    <col min="6394" max="6394" width="4.85546875" style="60" customWidth="1"/>
    <col min="6395" max="6395" width="16.5703125" style="60" customWidth="1"/>
    <col min="6396" max="6396" width="14.140625" style="60" customWidth="1"/>
    <col min="6397" max="6398" width="16.5703125" style="60" customWidth="1"/>
    <col min="6399" max="6399" width="9.5703125" style="60" customWidth="1"/>
    <col min="6400" max="6642" width="8.85546875" style="60"/>
    <col min="6643" max="6643" width="4.5703125" style="60" customWidth="1"/>
    <col min="6644" max="6644" width="14.7109375" style="60" customWidth="1"/>
    <col min="6645" max="6645" width="16.5703125" style="60" customWidth="1"/>
    <col min="6646" max="6646" width="8.28515625" style="60" customWidth="1"/>
    <col min="6647" max="6647" width="4.7109375" style="60" customWidth="1"/>
    <col min="6648" max="6648" width="5.85546875" style="60" customWidth="1"/>
    <col min="6649" max="6649" width="4.28515625" style="60" customWidth="1"/>
    <col min="6650" max="6650" width="4.85546875" style="60" customWidth="1"/>
    <col min="6651" max="6651" width="16.5703125" style="60" customWidth="1"/>
    <col min="6652" max="6652" width="14.140625" style="60" customWidth="1"/>
    <col min="6653" max="6654" width="16.5703125" style="60" customWidth="1"/>
    <col min="6655" max="6655" width="9.5703125" style="60" customWidth="1"/>
    <col min="6656" max="6898" width="8.85546875" style="60"/>
    <col min="6899" max="6899" width="4.5703125" style="60" customWidth="1"/>
    <col min="6900" max="6900" width="14.7109375" style="60" customWidth="1"/>
    <col min="6901" max="6901" width="16.5703125" style="60" customWidth="1"/>
    <col min="6902" max="6902" width="8.28515625" style="60" customWidth="1"/>
    <col min="6903" max="6903" width="4.7109375" style="60" customWidth="1"/>
    <col min="6904" max="6904" width="5.85546875" style="60" customWidth="1"/>
    <col min="6905" max="6905" width="4.28515625" style="60" customWidth="1"/>
    <col min="6906" max="6906" width="4.85546875" style="60" customWidth="1"/>
    <col min="6907" max="6907" width="16.5703125" style="60" customWidth="1"/>
    <col min="6908" max="6908" width="14.140625" style="60" customWidth="1"/>
    <col min="6909" max="6910" width="16.5703125" style="60" customWidth="1"/>
    <col min="6911" max="6911" width="9.5703125" style="60" customWidth="1"/>
    <col min="6912" max="7154" width="8.85546875" style="60"/>
    <col min="7155" max="7155" width="4.5703125" style="60" customWidth="1"/>
    <col min="7156" max="7156" width="14.7109375" style="60" customWidth="1"/>
    <col min="7157" max="7157" width="16.5703125" style="60" customWidth="1"/>
    <col min="7158" max="7158" width="8.28515625" style="60" customWidth="1"/>
    <col min="7159" max="7159" width="4.7109375" style="60" customWidth="1"/>
    <col min="7160" max="7160" width="5.85546875" style="60" customWidth="1"/>
    <col min="7161" max="7161" width="4.28515625" style="60" customWidth="1"/>
    <col min="7162" max="7162" width="4.85546875" style="60" customWidth="1"/>
    <col min="7163" max="7163" width="16.5703125" style="60" customWidth="1"/>
    <col min="7164" max="7164" width="14.140625" style="60" customWidth="1"/>
    <col min="7165" max="7166" width="16.5703125" style="60" customWidth="1"/>
    <col min="7167" max="7167" width="9.5703125" style="60" customWidth="1"/>
    <col min="7168" max="7410" width="8.85546875" style="60"/>
    <col min="7411" max="7411" width="4.5703125" style="60" customWidth="1"/>
    <col min="7412" max="7412" width="14.7109375" style="60" customWidth="1"/>
    <col min="7413" max="7413" width="16.5703125" style="60" customWidth="1"/>
    <col min="7414" max="7414" width="8.28515625" style="60" customWidth="1"/>
    <col min="7415" max="7415" width="4.7109375" style="60" customWidth="1"/>
    <col min="7416" max="7416" width="5.85546875" style="60" customWidth="1"/>
    <col min="7417" max="7417" width="4.28515625" style="60" customWidth="1"/>
    <col min="7418" max="7418" width="4.85546875" style="60" customWidth="1"/>
    <col min="7419" max="7419" width="16.5703125" style="60" customWidth="1"/>
    <col min="7420" max="7420" width="14.140625" style="60" customWidth="1"/>
    <col min="7421" max="7422" width="16.5703125" style="60" customWidth="1"/>
    <col min="7423" max="7423" width="9.5703125" style="60" customWidth="1"/>
    <col min="7424" max="7666" width="8.85546875" style="60"/>
    <col min="7667" max="7667" width="4.5703125" style="60" customWidth="1"/>
    <col min="7668" max="7668" width="14.7109375" style="60" customWidth="1"/>
    <col min="7669" max="7669" width="16.5703125" style="60" customWidth="1"/>
    <col min="7670" max="7670" width="8.28515625" style="60" customWidth="1"/>
    <col min="7671" max="7671" width="4.7109375" style="60" customWidth="1"/>
    <col min="7672" max="7672" width="5.85546875" style="60" customWidth="1"/>
    <col min="7673" max="7673" width="4.28515625" style="60" customWidth="1"/>
    <col min="7674" max="7674" width="4.85546875" style="60" customWidth="1"/>
    <col min="7675" max="7675" width="16.5703125" style="60" customWidth="1"/>
    <col min="7676" max="7676" width="14.140625" style="60" customWidth="1"/>
    <col min="7677" max="7678" width="16.5703125" style="60" customWidth="1"/>
    <col min="7679" max="7679" width="9.5703125" style="60" customWidth="1"/>
    <col min="7680" max="7922" width="8.85546875" style="60"/>
    <col min="7923" max="7923" width="4.5703125" style="60" customWidth="1"/>
    <col min="7924" max="7924" width="14.7109375" style="60" customWidth="1"/>
    <col min="7925" max="7925" width="16.5703125" style="60" customWidth="1"/>
    <col min="7926" max="7926" width="8.28515625" style="60" customWidth="1"/>
    <col min="7927" max="7927" width="4.7109375" style="60" customWidth="1"/>
    <col min="7928" max="7928" width="5.85546875" style="60" customWidth="1"/>
    <col min="7929" max="7929" width="4.28515625" style="60" customWidth="1"/>
    <col min="7930" max="7930" width="4.85546875" style="60" customWidth="1"/>
    <col min="7931" max="7931" width="16.5703125" style="60" customWidth="1"/>
    <col min="7932" max="7932" width="14.140625" style="60" customWidth="1"/>
    <col min="7933" max="7934" width="16.5703125" style="60" customWidth="1"/>
    <col min="7935" max="7935" width="9.5703125" style="60" customWidth="1"/>
    <col min="7936" max="8178" width="8.85546875" style="60"/>
    <col min="8179" max="8179" width="4.5703125" style="60" customWidth="1"/>
    <col min="8180" max="8180" width="14.7109375" style="60" customWidth="1"/>
    <col min="8181" max="8181" width="16.5703125" style="60" customWidth="1"/>
    <col min="8182" max="8182" width="8.28515625" style="60" customWidth="1"/>
    <col min="8183" max="8183" width="4.7109375" style="60" customWidth="1"/>
    <col min="8184" max="8184" width="5.85546875" style="60" customWidth="1"/>
    <col min="8185" max="8185" width="4.28515625" style="60" customWidth="1"/>
    <col min="8186" max="8186" width="4.85546875" style="60" customWidth="1"/>
    <col min="8187" max="8187" width="16.5703125" style="60" customWidth="1"/>
    <col min="8188" max="8188" width="14.140625" style="60" customWidth="1"/>
    <col min="8189" max="8190" width="16.5703125" style="60" customWidth="1"/>
    <col min="8191" max="8191" width="9.5703125" style="60" customWidth="1"/>
    <col min="8192" max="8434" width="8.85546875" style="60"/>
    <col min="8435" max="8435" width="4.5703125" style="60" customWidth="1"/>
    <col min="8436" max="8436" width="14.7109375" style="60" customWidth="1"/>
    <col min="8437" max="8437" width="16.5703125" style="60" customWidth="1"/>
    <col min="8438" max="8438" width="8.28515625" style="60" customWidth="1"/>
    <col min="8439" max="8439" width="4.7109375" style="60" customWidth="1"/>
    <col min="8440" max="8440" width="5.85546875" style="60" customWidth="1"/>
    <col min="8441" max="8441" width="4.28515625" style="60" customWidth="1"/>
    <col min="8442" max="8442" width="4.85546875" style="60" customWidth="1"/>
    <col min="8443" max="8443" width="16.5703125" style="60" customWidth="1"/>
    <col min="8444" max="8444" width="14.140625" style="60" customWidth="1"/>
    <col min="8445" max="8446" width="16.5703125" style="60" customWidth="1"/>
    <col min="8447" max="8447" width="9.5703125" style="60" customWidth="1"/>
    <col min="8448" max="8690" width="8.85546875" style="60"/>
    <col min="8691" max="8691" width="4.5703125" style="60" customWidth="1"/>
    <col min="8692" max="8692" width="14.7109375" style="60" customWidth="1"/>
    <col min="8693" max="8693" width="16.5703125" style="60" customWidth="1"/>
    <col min="8694" max="8694" width="8.28515625" style="60" customWidth="1"/>
    <col min="8695" max="8695" width="4.7109375" style="60" customWidth="1"/>
    <col min="8696" max="8696" width="5.85546875" style="60" customWidth="1"/>
    <col min="8697" max="8697" width="4.28515625" style="60" customWidth="1"/>
    <col min="8698" max="8698" width="4.85546875" style="60" customWidth="1"/>
    <col min="8699" max="8699" width="16.5703125" style="60" customWidth="1"/>
    <col min="8700" max="8700" width="14.140625" style="60" customWidth="1"/>
    <col min="8701" max="8702" width="16.5703125" style="60" customWidth="1"/>
    <col min="8703" max="8703" width="9.5703125" style="60" customWidth="1"/>
    <col min="8704" max="8946" width="8.85546875" style="60"/>
    <col min="8947" max="8947" width="4.5703125" style="60" customWidth="1"/>
    <col min="8948" max="8948" width="14.7109375" style="60" customWidth="1"/>
    <col min="8949" max="8949" width="16.5703125" style="60" customWidth="1"/>
    <col min="8950" max="8950" width="8.28515625" style="60" customWidth="1"/>
    <col min="8951" max="8951" width="4.7109375" style="60" customWidth="1"/>
    <col min="8952" max="8952" width="5.85546875" style="60" customWidth="1"/>
    <col min="8953" max="8953" width="4.28515625" style="60" customWidth="1"/>
    <col min="8954" max="8954" width="4.85546875" style="60" customWidth="1"/>
    <col min="8955" max="8955" width="16.5703125" style="60" customWidth="1"/>
    <col min="8956" max="8956" width="14.140625" style="60" customWidth="1"/>
    <col min="8957" max="8958" width="16.5703125" style="60" customWidth="1"/>
    <col min="8959" max="8959" width="9.5703125" style="60" customWidth="1"/>
    <col min="8960" max="9202" width="8.85546875" style="60"/>
    <col min="9203" max="9203" width="4.5703125" style="60" customWidth="1"/>
    <col min="9204" max="9204" width="14.7109375" style="60" customWidth="1"/>
    <col min="9205" max="9205" width="16.5703125" style="60" customWidth="1"/>
    <col min="9206" max="9206" width="8.28515625" style="60" customWidth="1"/>
    <col min="9207" max="9207" width="4.7109375" style="60" customWidth="1"/>
    <col min="9208" max="9208" width="5.85546875" style="60" customWidth="1"/>
    <col min="9209" max="9209" width="4.28515625" style="60" customWidth="1"/>
    <col min="9210" max="9210" width="4.85546875" style="60" customWidth="1"/>
    <col min="9211" max="9211" width="16.5703125" style="60" customWidth="1"/>
    <col min="9212" max="9212" width="14.140625" style="60" customWidth="1"/>
    <col min="9213" max="9214" width="16.5703125" style="60" customWidth="1"/>
    <col min="9215" max="9215" width="9.5703125" style="60" customWidth="1"/>
    <col min="9216" max="9458" width="8.85546875" style="60"/>
    <col min="9459" max="9459" width="4.5703125" style="60" customWidth="1"/>
    <col min="9460" max="9460" width="14.7109375" style="60" customWidth="1"/>
    <col min="9461" max="9461" width="16.5703125" style="60" customWidth="1"/>
    <col min="9462" max="9462" width="8.28515625" style="60" customWidth="1"/>
    <col min="9463" max="9463" width="4.7109375" style="60" customWidth="1"/>
    <col min="9464" max="9464" width="5.85546875" style="60" customWidth="1"/>
    <col min="9465" max="9465" width="4.28515625" style="60" customWidth="1"/>
    <col min="9466" max="9466" width="4.85546875" style="60" customWidth="1"/>
    <col min="9467" max="9467" width="16.5703125" style="60" customWidth="1"/>
    <col min="9468" max="9468" width="14.140625" style="60" customWidth="1"/>
    <col min="9469" max="9470" width="16.5703125" style="60" customWidth="1"/>
    <col min="9471" max="9471" width="9.5703125" style="60" customWidth="1"/>
    <col min="9472" max="9714" width="8.85546875" style="60"/>
    <col min="9715" max="9715" width="4.5703125" style="60" customWidth="1"/>
    <col min="9716" max="9716" width="14.7109375" style="60" customWidth="1"/>
    <col min="9717" max="9717" width="16.5703125" style="60" customWidth="1"/>
    <col min="9718" max="9718" width="8.28515625" style="60" customWidth="1"/>
    <col min="9719" max="9719" width="4.7109375" style="60" customWidth="1"/>
    <col min="9720" max="9720" width="5.85546875" style="60" customWidth="1"/>
    <col min="9721" max="9721" width="4.28515625" style="60" customWidth="1"/>
    <col min="9722" max="9722" width="4.85546875" style="60" customWidth="1"/>
    <col min="9723" max="9723" width="16.5703125" style="60" customWidth="1"/>
    <col min="9724" max="9724" width="14.140625" style="60" customWidth="1"/>
    <col min="9725" max="9726" width="16.5703125" style="60" customWidth="1"/>
    <col min="9727" max="9727" width="9.5703125" style="60" customWidth="1"/>
    <col min="9728" max="9970" width="8.85546875" style="60"/>
    <col min="9971" max="9971" width="4.5703125" style="60" customWidth="1"/>
    <col min="9972" max="9972" width="14.7109375" style="60" customWidth="1"/>
    <col min="9973" max="9973" width="16.5703125" style="60" customWidth="1"/>
    <col min="9974" max="9974" width="8.28515625" style="60" customWidth="1"/>
    <col min="9975" max="9975" width="4.7109375" style="60" customWidth="1"/>
    <col min="9976" max="9976" width="5.85546875" style="60" customWidth="1"/>
    <col min="9977" max="9977" width="4.28515625" style="60" customWidth="1"/>
    <col min="9978" max="9978" width="4.85546875" style="60" customWidth="1"/>
    <col min="9979" max="9979" width="16.5703125" style="60" customWidth="1"/>
    <col min="9980" max="9980" width="14.140625" style="60" customWidth="1"/>
    <col min="9981" max="9982" width="16.5703125" style="60" customWidth="1"/>
    <col min="9983" max="9983" width="9.5703125" style="60" customWidth="1"/>
    <col min="9984" max="10226" width="8.85546875" style="60"/>
    <col min="10227" max="10227" width="4.5703125" style="60" customWidth="1"/>
    <col min="10228" max="10228" width="14.7109375" style="60" customWidth="1"/>
    <col min="10229" max="10229" width="16.5703125" style="60" customWidth="1"/>
    <col min="10230" max="10230" width="8.28515625" style="60" customWidth="1"/>
    <col min="10231" max="10231" width="4.7109375" style="60" customWidth="1"/>
    <col min="10232" max="10232" width="5.85546875" style="60" customWidth="1"/>
    <col min="10233" max="10233" width="4.28515625" style="60" customWidth="1"/>
    <col min="10234" max="10234" width="4.85546875" style="60" customWidth="1"/>
    <col min="10235" max="10235" width="16.5703125" style="60" customWidth="1"/>
    <col min="10236" max="10236" width="14.140625" style="60" customWidth="1"/>
    <col min="10237" max="10238" width="16.5703125" style="60" customWidth="1"/>
    <col min="10239" max="10239" width="9.5703125" style="60" customWidth="1"/>
    <col min="10240" max="10482" width="8.85546875" style="60"/>
    <col min="10483" max="10483" width="4.5703125" style="60" customWidth="1"/>
    <col min="10484" max="10484" width="14.7109375" style="60" customWidth="1"/>
    <col min="10485" max="10485" width="16.5703125" style="60" customWidth="1"/>
    <col min="10486" max="10486" width="8.28515625" style="60" customWidth="1"/>
    <col min="10487" max="10487" width="4.7109375" style="60" customWidth="1"/>
    <col min="10488" max="10488" width="5.85546875" style="60" customWidth="1"/>
    <col min="10489" max="10489" width="4.28515625" style="60" customWidth="1"/>
    <col min="10490" max="10490" width="4.85546875" style="60" customWidth="1"/>
    <col min="10491" max="10491" width="16.5703125" style="60" customWidth="1"/>
    <col min="10492" max="10492" width="14.140625" style="60" customWidth="1"/>
    <col min="10493" max="10494" width="16.5703125" style="60" customWidth="1"/>
    <col min="10495" max="10495" width="9.5703125" style="60" customWidth="1"/>
    <col min="10496" max="10738" width="8.85546875" style="60"/>
    <col min="10739" max="10739" width="4.5703125" style="60" customWidth="1"/>
    <col min="10740" max="10740" width="14.7109375" style="60" customWidth="1"/>
    <col min="10741" max="10741" width="16.5703125" style="60" customWidth="1"/>
    <col min="10742" max="10742" width="8.28515625" style="60" customWidth="1"/>
    <col min="10743" max="10743" width="4.7109375" style="60" customWidth="1"/>
    <col min="10744" max="10744" width="5.85546875" style="60" customWidth="1"/>
    <col min="10745" max="10745" width="4.28515625" style="60" customWidth="1"/>
    <col min="10746" max="10746" width="4.85546875" style="60" customWidth="1"/>
    <col min="10747" max="10747" width="16.5703125" style="60" customWidth="1"/>
    <col min="10748" max="10748" width="14.140625" style="60" customWidth="1"/>
    <col min="10749" max="10750" width="16.5703125" style="60" customWidth="1"/>
    <col min="10751" max="10751" width="9.5703125" style="60" customWidth="1"/>
    <col min="10752" max="10994" width="8.85546875" style="60"/>
    <col min="10995" max="10995" width="4.5703125" style="60" customWidth="1"/>
    <col min="10996" max="10996" width="14.7109375" style="60" customWidth="1"/>
    <col min="10997" max="10997" width="16.5703125" style="60" customWidth="1"/>
    <col min="10998" max="10998" width="8.28515625" style="60" customWidth="1"/>
    <col min="10999" max="10999" width="4.7109375" style="60" customWidth="1"/>
    <col min="11000" max="11000" width="5.85546875" style="60" customWidth="1"/>
    <col min="11001" max="11001" width="4.28515625" style="60" customWidth="1"/>
    <col min="11002" max="11002" width="4.85546875" style="60" customWidth="1"/>
    <col min="11003" max="11003" width="16.5703125" style="60" customWidth="1"/>
    <col min="11004" max="11004" width="14.140625" style="60" customWidth="1"/>
    <col min="11005" max="11006" width="16.5703125" style="60" customWidth="1"/>
    <col min="11007" max="11007" width="9.5703125" style="60" customWidth="1"/>
    <col min="11008" max="11250" width="8.85546875" style="60"/>
    <col min="11251" max="11251" width="4.5703125" style="60" customWidth="1"/>
    <col min="11252" max="11252" width="14.7109375" style="60" customWidth="1"/>
    <col min="11253" max="11253" width="16.5703125" style="60" customWidth="1"/>
    <col min="11254" max="11254" width="8.28515625" style="60" customWidth="1"/>
    <col min="11255" max="11255" width="4.7109375" style="60" customWidth="1"/>
    <col min="11256" max="11256" width="5.85546875" style="60" customWidth="1"/>
    <col min="11257" max="11257" width="4.28515625" style="60" customWidth="1"/>
    <col min="11258" max="11258" width="4.85546875" style="60" customWidth="1"/>
    <col min="11259" max="11259" width="16.5703125" style="60" customWidth="1"/>
    <col min="11260" max="11260" width="14.140625" style="60" customWidth="1"/>
    <col min="11261" max="11262" width="16.5703125" style="60" customWidth="1"/>
    <col min="11263" max="11263" width="9.5703125" style="60" customWidth="1"/>
    <col min="11264" max="11506" width="8.85546875" style="60"/>
    <col min="11507" max="11507" width="4.5703125" style="60" customWidth="1"/>
    <col min="11508" max="11508" width="14.7109375" style="60" customWidth="1"/>
    <col min="11509" max="11509" width="16.5703125" style="60" customWidth="1"/>
    <col min="11510" max="11510" width="8.28515625" style="60" customWidth="1"/>
    <col min="11511" max="11511" width="4.7109375" style="60" customWidth="1"/>
    <col min="11512" max="11512" width="5.85546875" style="60" customWidth="1"/>
    <col min="11513" max="11513" width="4.28515625" style="60" customWidth="1"/>
    <col min="11514" max="11514" width="4.85546875" style="60" customWidth="1"/>
    <col min="11515" max="11515" width="16.5703125" style="60" customWidth="1"/>
    <col min="11516" max="11516" width="14.140625" style="60" customWidth="1"/>
    <col min="11517" max="11518" width="16.5703125" style="60" customWidth="1"/>
    <col min="11519" max="11519" width="9.5703125" style="60" customWidth="1"/>
    <col min="11520" max="11762" width="8.85546875" style="60"/>
    <col min="11763" max="11763" width="4.5703125" style="60" customWidth="1"/>
    <col min="11764" max="11764" width="14.7109375" style="60" customWidth="1"/>
    <col min="11765" max="11765" width="16.5703125" style="60" customWidth="1"/>
    <col min="11766" max="11766" width="8.28515625" style="60" customWidth="1"/>
    <col min="11767" max="11767" width="4.7109375" style="60" customWidth="1"/>
    <col min="11768" max="11768" width="5.85546875" style="60" customWidth="1"/>
    <col min="11769" max="11769" width="4.28515625" style="60" customWidth="1"/>
    <col min="11770" max="11770" width="4.85546875" style="60" customWidth="1"/>
    <col min="11771" max="11771" width="16.5703125" style="60" customWidth="1"/>
    <col min="11772" max="11772" width="14.140625" style="60" customWidth="1"/>
    <col min="11773" max="11774" width="16.5703125" style="60" customWidth="1"/>
    <col min="11775" max="11775" width="9.5703125" style="60" customWidth="1"/>
    <col min="11776" max="12018" width="8.85546875" style="60"/>
    <col min="12019" max="12019" width="4.5703125" style="60" customWidth="1"/>
    <col min="12020" max="12020" width="14.7109375" style="60" customWidth="1"/>
    <col min="12021" max="12021" width="16.5703125" style="60" customWidth="1"/>
    <col min="12022" max="12022" width="8.28515625" style="60" customWidth="1"/>
    <col min="12023" max="12023" width="4.7109375" style="60" customWidth="1"/>
    <col min="12024" max="12024" width="5.85546875" style="60" customWidth="1"/>
    <col min="12025" max="12025" width="4.28515625" style="60" customWidth="1"/>
    <col min="12026" max="12026" width="4.85546875" style="60" customWidth="1"/>
    <col min="12027" max="12027" width="16.5703125" style="60" customWidth="1"/>
    <col min="12028" max="12028" width="14.140625" style="60" customWidth="1"/>
    <col min="12029" max="12030" width="16.5703125" style="60" customWidth="1"/>
    <col min="12031" max="12031" width="9.5703125" style="60" customWidth="1"/>
    <col min="12032" max="12274" width="8.85546875" style="60"/>
    <col min="12275" max="12275" width="4.5703125" style="60" customWidth="1"/>
    <col min="12276" max="12276" width="14.7109375" style="60" customWidth="1"/>
    <col min="12277" max="12277" width="16.5703125" style="60" customWidth="1"/>
    <col min="12278" max="12278" width="8.28515625" style="60" customWidth="1"/>
    <col min="12279" max="12279" width="4.7109375" style="60" customWidth="1"/>
    <col min="12280" max="12280" width="5.85546875" style="60" customWidth="1"/>
    <col min="12281" max="12281" width="4.28515625" style="60" customWidth="1"/>
    <col min="12282" max="12282" width="4.85546875" style="60" customWidth="1"/>
    <col min="12283" max="12283" width="16.5703125" style="60" customWidth="1"/>
    <col min="12284" max="12284" width="14.140625" style="60" customWidth="1"/>
    <col min="12285" max="12286" width="16.5703125" style="60" customWidth="1"/>
    <col min="12287" max="12287" width="9.5703125" style="60" customWidth="1"/>
    <col min="12288" max="12530" width="8.85546875" style="60"/>
    <col min="12531" max="12531" width="4.5703125" style="60" customWidth="1"/>
    <col min="12532" max="12532" width="14.7109375" style="60" customWidth="1"/>
    <col min="12533" max="12533" width="16.5703125" style="60" customWidth="1"/>
    <col min="12534" max="12534" width="8.28515625" style="60" customWidth="1"/>
    <col min="12535" max="12535" width="4.7109375" style="60" customWidth="1"/>
    <col min="12536" max="12536" width="5.85546875" style="60" customWidth="1"/>
    <col min="12537" max="12537" width="4.28515625" style="60" customWidth="1"/>
    <col min="12538" max="12538" width="4.85546875" style="60" customWidth="1"/>
    <col min="12539" max="12539" width="16.5703125" style="60" customWidth="1"/>
    <col min="12540" max="12540" width="14.140625" style="60" customWidth="1"/>
    <col min="12541" max="12542" width="16.5703125" style="60" customWidth="1"/>
    <col min="12543" max="12543" width="9.5703125" style="60" customWidth="1"/>
    <col min="12544" max="12786" width="8.85546875" style="60"/>
    <col min="12787" max="12787" width="4.5703125" style="60" customWidth="1"/>
    <col min="12788" max="12788" width="14.7109375" style="60" customWidth="1"/>
    <col min="12789" max="12789" width="16.5703125" style="60" customWidth="1"/>
    <col min="12790" max="12790" width="8.28515625" style="60" customWidth="1"/>
    <col min="12791" max="12791" width="4.7109375" style="60" customWidth="1"/>
    <col min="12792" max="12792" width="5.85546875" style="60" customWidth="1"/>
    <col min="12793" max="12793" width="4.28515625" style="60" customWidth="1"/>
    <col min="12794" max="12794" width="4.85546875" style="60" customWidth="1"/>
    <col min="12795" max="12795" width="16.5703125" style="60" customWidth="1"/>
    <col min="12796" max="12796" width="14.140625" style="60" customWidth="1"/>
    <col min="12797" max="12798" width="16.5703125" style="60" customWidth="1"/>
    <col min="12799" max="12799" width="9.5703125" style="60" customWidth="1"/>
    <col min="12800" max="13042" width="8.85546875" style="60"/>
    <col min="13043" max="13043" width="4.5703125" style="60" customWidth="1"/>
    <col min="13044" max="13044" width="14.7109375" style="60" customWidth="1"/>
    <col min="13045" max="13045" width="16.5703125" style="60" customWidth="1"/>
    <col min="13046" max="13046" width="8.28515625" style="60" customWidth="1"/>
    <col min="13047" max="13047" width="4.7109375" style="60" customWidth="1"/>
    <col min="13048" max="13048" width="5.85546875" style="60" customWidth="1"/>
    <col min="13049" max="13049" width="4.28515625" style="60" customWidth="1"/>
    <col min="13050" max="13050" width="4.85546875" style="60" customWidth="1"/>
    <col min="13051" max="13051" width="16.5703125" style="60" customWidth="1"/>
    <col min="13052" max="13052" width="14.140625" style="60" customWidth="1"/>
    <col min="13053" max="13054" width="16.5703125" style="60" customWidth="1"/>
    <col min="13055" max="13055" width="9.5703125" style="60" customWidth="1"/>
    <col min="13056" max="13298" width="8.85546875" style="60"/>
    <col min="13299" max="13299" width="4.5703125" style="60" customWidth="1"/>
    <col min="13300" max="13300" width="14.7109375" style="60" customWidth="1"/>
    <col min="13301" max="13301" width="16.5703125" style="60" customWidth="1"/>
    <col min="13302" max="13302" width="8.28515625" style="60" customWidth="1"/>
    <col min="13303" max="13303" width="4.7109375" style="60" customWidth="1"/>
    <col min="13304" max="13304" width="5.85546875" style="60" customWidth="1"/>
    <col min="13305" max="13305" width="4.28515625" style="60" customWidth="1"/>
    <col min="13306" max="13306" width="4.85546875" style="60" customWidth="1"/>
    <col min="13307" max="13307" width="16.5703125" style="60" customWidth="1"/>
    <col min="13308" max="13308" width="14.140625" style="60" customWidth="1"/>
    <col min="13309" max="13310" width="16.5703125" style="60" customWidth="1"/>
    <col min="13311" max="13311" width="9.5703125" style="60" customWidth="1"/>
    <col min="13312" max="13554" width="8.85546875" style="60"/>
    <col min="13555" max="13555" width="4.5703125" style="60" customWidth="1"/>
    <col min="13556" max="13556" width="14.7109375" style="60" customWidth="1"/>
    <col min="13557" max="13557" width="16.5703125" style="60" customWidth="1"/>
    <col min="13558" max="13558" width="8.28515625" style="60" customWidth="1"/>
    <col min="13559" max="13559" width="4.7109375" style="60" customWidth="1"/>
    <col min="13560" max="13560" width="5.85546875" style="60" customWidth="1"/>
    <col min="13561" max="13561" width="4.28515625" style="60" customWidth="1"/>
    <col min="13562" max="13562" width="4.85546875" style="60" customWidth="1"/>
    <col min="13563" max="13563" width="16.5703125" style="60" customWidth="1"/>
    <col min="13564" max="13564" width="14.140625" style="60" customWidth="1"/>
    <col min="13565" max="13566" width="16.5703125" style="60" customWidth="1"/>
    <col min="13567" max="13567" width="9.5703125" style="60" customWidth="1"/>
    <col min="13568" max="13810" width="8.85546875" style="60"/>
    <col min="13811" max="13811" width="4.5703125" style="60" customWidth="1"/>
    <col min="13812" max="13812" width="14.7109375" style="60" customWidth="1"/>
    <col min="13813" max="13813" width="16.5703125" style="60" customWidth="1"/>
    <col min="13814" max="13814" width="8.28515625" style="60" customWidth="1"/>
    <col min="13815" max="13815" width="4.7109375" style="60" customWidth="1"/>
    <col min="13816" max="13816" width="5.85546875" style="60" customWidth="1"/>
    <col min="13817" max="13817" width="4.28515625" style="60" customWidth="1"/>
    <col min="13818" max="13818" width="4.85546875" style="60" customWidth="1"/>
    <col min="13819" max="13819" width="16.5703125" style="60" customWidth="1"/>
    <col min="13820" max="13820" width="14.140625" style="60" customWidth="1"/>
    <col min="13821" max="13822" width="16.5703125" style="60" customWidth="1"/>
    <col min="13823" max="13823" width="9.5703125" style="60" customWidth="1"/>
    <col min="13824" max="14066" width="8.85546875" style="60"/>
    <col min="14067" max="14067" width="4.5703125" style="60" customWidth="1"/>
    <col min="14068" max="14068" width="14.7109375" style="60" customWidth="1"/>
    <col min="14069" max="14069" width="16.5703125" style="60" customWidth="1"/>
    <col min="14070" max="14070" width="8.28515625" style="60" customWidth="1"/>
    <col min="14071" max="14071" width="4.7109375" style="60" customWidth="1"/>
    <col min="14072" max="14072" width="5.85546875" style="60" customWidth="1"/>
    <col min="14073" max="14073" width="4.28515625" style="60" customWidth="1"/>
    <col min="14074" max="14074" width="4.85546875" style="60" customWidth="1"/>
    <col min="14075" max="14075" width="16.5703125" style="60" customWidth="1"/>
    <col min="14076" max="14076" width="14.140625" style="60" customWidth="1"/>
    <col min="14077" max="14078" width="16.5703125" style="60" customWidth="1"/>
    <col min="14079" max="14079" width="9.5703125" style="60" customWidth="1"/>
    <col min="14080" max="14322" width="8.85546875" style="60"/>
    <col min="14323" max="14323" width="4.5703125" style="60" customWidth="1"/>
    <col min="14324" max="14324" width="14.7109375" style="60" customWidth="1"/>
    <col min="14325" max="14325" width="16.5703125" style="60" customWidth="1"/>
    <col min="14326" max="14326" width="8.28515625" style="60" customWidth="1"/>
    <col min="14327" max="14327" width="4.7109375" style="60" customWidth="1"/>
    <col min="14328" max="14328" width="5.85546875" style="60" customWidth="1"/>
    <col min="14329" max="14329" width="4.28515625" style="60" customWidth="1"/>
    <col min="14330" max="14330" width="4.85546875" style="60" customWidth="1"/>
    <col min="14331" max="14331" width="16.5703125" style="60" customWidth="1"/>
    <col min="14332" max="14332" width="14.140625" style="60" customWidth="1"/>
    <col min="14333" max="14334" width="16.5703125" style="60" customWidth="1"/>
    <col min="14335" max="14335" width="9.5703125" style="60" customWidth="1"/>
    <col min="14336" max="14578" width="8.85546875" style="60"/>
    <col min="14579" max="14579" width="4.5703125" style="60" customWidth="1"/>
    <col min="14580" max="14580" width="14.7109375" style="60" customWidth="1"/>
    <col min="14581" max="14581" width="16.5703125" style="60" customWidth="1"/>
    <col min="14582" max="14582" width="8.28515625" style="60" customWidth="1"/>
    <col min="14583" max="14583" width="4.7109375" style="60" customWidth="1"/>
    <col min="14584" max="14584" width="5.85546875" style="60" customWidth="1"/>
    <col min="14585" max="14585" width="4.28515625" style="60" customWidth="1"/>
    <col min="14586" max="14586" width="4.85546875" style="60" customWidth="1"/>
    <col min="14587" max="14587" width="16.5703125" style="60" customWidth="1"/>
    <col min="14588" max="14588" width="14.140625" style="60" customWidth="1"/>
    <col min="14589" max="14590" width="16.5703125" style="60" customWidth="1"/>
    <col min="14591" max="14591" width="9.5703125" style="60" customWidth="1"/>
    <col min="14592" max="14834" width="8.85546875" style="60"/>
    <col min="14835" max="14835" width="4.5703125" style="60" customWidth="1"/>
    <col min="14836" max="14836" width="14.7109375" style="60" customWidth="1"/>
    <col min="14837" max="14837" width="16.5703125" style="60" customWidth="1"/>
    <col min="14838" max="14838" width="8.28515625" style="60" customWidth="1"/>
    <col min="14839" max="14839" width="4.7109375" style="60" customWidth="1"/>
    <col min="14840" max="14840" width="5.85546875" style="60" customWidth="1"/>
    <col min="14841" max="14841" width="4.28515625" style="60" customWidth="1"/>
    <col min="14842" max="14842" width="4.85546875" style="60" customWidth="1"/>
    <col min="14843" max="14843" width="16.5703125" style="60" customWidth="1"/>
    <col min="14844" max="14844" width="14.140625" style="60" customWidth="1"/>
    <col min="14845" max="14846" width="16.5703125" style="60" customWidth="1"/>
    <col min="14847" max="14847" width="9.5703125" style="60" customWidth="1"/>
    <col min="14848" max="15090" width="8.85546875" style="60"/>
    <col min="15091" max="15091" width="4.5703125" style="60" customWidth="1"/>
    <col min="15092" max="15092" width="14.7109375" style="60" customWidth="1"/>
    <col min="15093" max="15093" width="16.5703125" style="60" customWidth="1"/>
    <col min="15094" max="15094" width="8.28515625" style="60" customWidth="1"/>
    <col min="15095" max="15095" width="4.7109375" style="60" customWidth="1"/>
    <col min="15096" max="15096" width="5.85546875" style="60" customWidth="1"/>
    <col min="15097" max="15097" width="4.28515625" style="60" customWidth="1"/>
    <col min="15098" max="15098" width="4.85546875" style="60" customWidth="1"/>
    <col min="15099" max="15099" width="16.5703125" style="60" customWidth="1"/>
    <col min="15100" max="15100" width="14.140625" style="60" customWidth="1"/>
    <col min="15101" max="15102" width="16.5703125" style="60" customWidth="1"/>
    <col min="15103" max="15103" width="9.5703125" style="60" customWidth="1"/>
    <col min="15104" max="15346" width="8.85546875" style="60"/>
    <col min="15347" max="15347" width="4.5703125" style="60" customWidth="1"/>
    <col min="15348" max="15348" width="14.7109375" style="60" customWidth="1"/>
    <col min="15349" max="15349" width="16.5703125" style="60" customWidth="1"/>
    <col min="15350" max="15350" width="8.28515625" style="60" customWidth="1"/>
    <col min="15351" max="15351" width="4.7109375" style="60" customWidth="1"/>
    <col min="15352" max="15352" width="5.85546875" style="60" customWidth="1"/>
    <col min="15353" max="15353" width="4.28515625" style="60" customWidth="1"/>
    <col min="15354" max="15354" width="4.85546875" style="60" customWidth="1"/>
    <col min="15355" max="15355" width="16.5703125" style="60" customWidth="1"/>
    <col min="15356" max="15356" width="14.140625" style="60" customWidth="1"/>
    <col min="15357" max="15358" width="16.5703125" style="60" customWidth="1"/>
    <col min="15359" max="15359" width="9.5703125" style="60" customWidth="1"/>
    <col min="15360" max="15602" width="8.85546875" style="60"/>
    <col min="15603" max="15603" width="4.5703125" style="60" customWidth="1"/>
    <col min="15604" max="15604" width="14.7109375" style="60" customWidth="1"/>
    <col min="15605" max="15605" width="16.5703125" style="60" customWidth="1"/>
    <col min="15606" max="15606" width="8.28515625" style="60" customWidth="1"/>
    <col min="15607" max="15607" width="4.7109375" style="60" customWidth="1"/>
    <col min="15608" max="15608" width="5.85546875" style="60" customWidth="1"/>
    <col min="15609" max="15609" width="4.28515625" style="60" customWidth="1"/>
    <col min="15610" max="15610" width="4.85546875" style="60" customWidth="1"/>
    <col min="15611" max="15611" width="16.5703125" style="60" customWidth="1"/>
    <col min="15612" max="15612" width="14.140625" style="60" customWidth="1"/>
    <col min="15613" max="15614" width="16.5703125" style="60" customWidth="1"/>
    <col min="15615" max="15615" width="9.5703125" style="60" customWidth="1"/>
    <col min="15616" max="15858" width="8.85546875" style="60"/>
    <col min="15859" max="15859" width="4.5703125" style="60" customWidth="1"/>
    <col min="15860" max="15860" width="14.7109375" style="60" customWidth="1"/>
    <col min="15861" max="15861" width="16.5703125" style="60" customWidth="1"/>
    <col min="15862" max="15862" width="8.28515625" style="60" customWidth="1"/>
    <col min="15863" max="15863" width="4.7109375" style="60" customWidth="1"/>
    <col min="15864" max="15864" width="5.85546875" style="60" customWidth="1"/>
    <col min="15865" max="15865" width="4.28515625" style="60" customWidth="1"/>
    <col min="15866" max="15866" width="4.85546875" style="60" customWidth="1"/>
    <col min="15867" max="15867" width="16.5703125" style="60" customWidth="1"/>
    <col min="15868" max="15868" width="14.140625" style="60" customWidth="1"/>
    <col min="15869" max="15870" width="16.5703125" style="60" customWidth="1"/>
    <col min="15871" max="15871" width="9.5703125" style="60" customWidth="1"/>
    <col min="15872" max="16114" width="8.85546875" style="60"/>
    <col min="16115" max="16115" width="4.5703125" style="60" customWidth="1"/>
    <col min="16116" max="16116" width="14.7109375" style="60" customWidth="1"/>
    <col min="16117" max="16117" width="16.5703125" style="60" customWidth="1"/>
    <col min="16118" max="16118" width="8.28515625" style="60" customWidth="1"/>
    <col min="16119" max="16119" width="4.7109375" style="60" customWidth="1"/>
    <col min="16120" max="16120" width="5.85546875" style="60" customWidth="1"/>
    <col min="16121" max="16121" width="4.28515625" style="60" customWidth="1"/>
    <col min="16122" max="16122" width="4.85546875" style="60" customWidth="1"/>
    <col min="16123" max="16123" width="16.5703125" style="60" customWidth="1"/>
    <col min="16124" max="16124" width="14.140625" style="60" customWidth="1"/>
    <col min="16125" max="16126" width="16.5703125" style="60" customWidth="1"/>
    <col min="16127" max="16127" width="9.5703125" style="60" customWidth="1"/>
    <col min="16128" max="16370" width="8.85546875" style="60"/>
    <col min="16371" max="16384" width="8.85546875" style="60" customWidth="1"/>
  </cols>
  <sheetData>
    <row r="1" spans="1:8" x14ac:dyDescent="0.2">
      <c r="H1" s="68" t="s">
        <v>29</v>
      </c>
    </row>
    <row r="2" spans="1:8" x14ac:dyDescent="0.2">
      <c r="B2" s="45"/>
      <c r="H2" s="68" t="str">
        <f>+Cover!A5</f>
        <v>CAUSE NO. 45032-S13</v>
      </c>
    </row>
    <row r="3" spans="1:8" x14ac:dyDescent="0.2">
      <c r="D3" s="70"/>
      <c r="H3" s="68" t="s">
        <v>57</v>
      </c>
    </row>
    <row r="4" spans="1:8" x14ac:dyDescent="0.2">
      <c r="B4" s="268" t="str">
        <f>+Cover!A1</f>
        <v>South Eastern Indiana Natural Gas</v>
      </c>
      <c r="C4" s="268"/>
      <c r="D4" s="268"/>
      <c r="E4" s="268"/>
      <c r="F4" s="268"/>
      <c r="G4" s="268"/>
    </row>
    <row r="5" spans="1:8" x14ac:dyDescent="0.2">
      <c r="B5" s="268" t="s">
        <v>58</v>
      </c>
      <c r="C5" s="268"/>
      <c r="D5" s="268"/>
      <c r="E5" s="268"/>
      <c r="F5" s="268"/>
      <c r="G5" s="268"/>
    </row>
    <row r="6" spans="1:8" x14ac:dyDescent="0.2">
      <c r="B6" s="269">
        <v>43100</v>
      </c>
      <c r="C6" s="269"/>
      <c r="D6" s="269"/>
      <c r="E6" s="269"/>
      <c r="F6" s="269"/>
      <c r="G6" s="269"/>
    </row>
    <row r="7" spans="1:8" x14ac:dyDescent="0.2">
      <c r="B7" s="71"/>
    </row>
    <row r="8" spans="1:8" x14ac:dyDescent="0.2">
      <c r="A8" s="72" t="s">
        <v>59</v>
      </c>
      <c r="B8" s="73" t="s">
        <v>60</v>
      </c>
      <c r="C8" s="73"/>
      <c r="E8" s="74">
        <v>42735</v>
      </c>
      <c r="F8" s="75"/>
      <c r="G8" s="74">
        <v>43100</v>
      </c>
      <c r="H8" s="76"/>
    </row>
    <row r="9" spans="1:8" x14ac:dyDescent="0.2">
      <c r="A9" s="59">
        <v>1</v>
      </c>
      <c r="B9" s="77" t="s">
        <v>61</v>
      </c>
      <c r="C9" s="78" t="s">
        <v>62</v>
      </c>
      <c r="D9" s="79"/>
      <c r="E9" s="79">
        <v>9358.61</v>
      </c>
      <c r="F9" s="79"/>
      <c r="G9" s="79">
        <v>9358.61</v>
      </c>
      <c r="H9" s="83"/>
    </row>
    <row r="10" spans="1:8" x14ac:dyDescent="0.2">
      <c r="A10" s="59">
        <f t="shared" ref="A10:A27" si="0">+A9+1</f>
        <v>2</v>
      </c>
      <c r="B10" s="77" t="s">
        <v>63</v>
      </c>
      <c r="C10" s="78" t="s">
        <v>64</v>
      </c>
      <c r="D10" s="79"/>
      <c r="E10" s="79">
        <v>1974445.53</v>
      </c>
      <c r="F10" s="79"/>
      <c r="G10" s="79">
        <v>2017471.41</v>
      </c>
      <c r="H10" s="83"/>
    </row>
    <row r="11" spans="1:8" x14ac:dyDescent="0.2">
      <c r="A11" s="59">
        <f t="shared" si="0"/>
        <v>3</v>
      </c>
      <c r="B11" s="77" t="s">
        <v>65</v>
      </c>
      <c r="C11" s="78" t="s">
        <v>66</v>
      </c>
      <c r="D11" s="79"/>
      <c r="E11" s="79">
        <v>35888.199999999997</v>
      </c>
      <c r="F11" s="84"/>
      <c r="G11" s="84">
        <v>35888.199999999997</v>
      </c>
      <c r="H11" s="80"/>
    </row>
    <row r="12" spans="1:8" x14ac:dyDescent="0.2">
      <c r="A12" s="59">
        <f t="shared" si="0"/>
        <v>4</v>
      </c>
      <c r="B12" s="77" t="s">
        <v>67</v>
      </c>
      <c r="C12" s="78" t="s">
        <v>68</v>
      </c>
      <c r="D12" s="79"/>
      <c r="E12" s="79">
        <v>1258054.56</v>
      </c>
      <c r="F12" s="84"/>
      <c r="G12" s="84">
        <v>1324105.53</v>
      </c>
      <c r="H12" s="82"/>
    </row>
    <row r="13" spans="1:8" x14ac:dyDescent="0.2">
      <c r="A13" s="59">
        <f t="shared" si="0"/>
        <v>5</v>
      </c>
      <c r="B13" s="77" t="s">
        <v>69</v>
      </c>
      <c r="C13" s="78" t="s">
        <v>70</v>
      </c>
      <c r="D13" s="79"/>
      <c r="E13" s="79">
        <v>378130.86</v>
      </c>
      <c r="F13" s="84"/>
      <c r="G13" s="84">
        <v>406061.48</v>
      </c>
      <c r="H13" s="80"/>
    </row>
    <row r="14" spans="1:8" x14ac:dyDescent="0.2">
      <c r="A14" s="59">
        <f t="shared" si="0"/>
        <v>6</v>
      </c>
      <c r="B14" s="77" t="s">
        <v>71</v>
      </c>
      <c r="C14" s="78" t="s">
        <v>72</v>
      </c>
      <c r="D14" s="79"/>
      <c r="E14" s="79">
        <v>116657.27</v>
      </c>
      <c r="F14" s="84"/>
      <c r="G14" s="84">
        <v>116657.27</v>
      </c>
      <c r="H14" s="82"/>
    </row>
    <row r="15" spans="1:8" x14ac:dyDescent="0.2">
      <c r="A15" s="59">
        <f t="shared" si="0"/>
        <v>7</v>
      </c>
      <c r="B15" s="77" t="s">
        <v>73</v>
      </c>
      <c r="C15" s="78" t="s">
        <v>74</v>
      </c>
      <c r="D15" s="79"/>
      <c r="E15" s="79">
        <v>46633.03</v>
      </c>
      <c r="F15" s="84"/>
      <c r="G15" s="84">
        <v>47182.5</v>
      </c>
      <c r="H15" s="80"/>
    </row>
    <row r="16" spans="1:8" x14ac:dyDescent="0.2">
      <c r="A16" s="59">
        <f t="shared" si="0"/>
        <v>8</v>
      </c>
      <c r="B16" s="77" t="s">
        <v>75</v>
      </c>
      <c r="C16" s="78" t="s">
        <v>76</v>
      </c>
      <c r="D16" s="79"/>
      <c r="E16" s="79">
        <v>693.58</v>
      </c>
      <c r="F16" s="84"/>
      <c r="G16" s="84">
        <v>693.58</v>
      </c>
      <c r="H16" s="80"/>
    </row>
    <row r="17" spans="1:8" x14ac:dyDescent="0.2">
      <c r="A17" s="59">
        <f t="shared" si="0"/>
        <v>9</v>
      </c>
      <c r="B17" s="77" t="s">
        <v>77</v>
      </c>
      <c r="C17" s="78" t="s">
        <v>62</v>
      </c>
      <c r="D17" s="79"/>
      <c r="E17" s="79">
        <v>50000</v>
      </c>
      <c r="F17" s="84"/>
      <c r="G17" s="84">
        <v>50000</v>
      </c>
      <c r="H17" s="80"/>
    </row>
    <row r="18" spans="1:8" x14ac:dyDescent="0.2">
      <c r="A18" s="59">
        <f t="shared" si="0"/>
        <v>10</v>
      </c>
      <c r="B18" s="77" t="s">
        <v>78</v>
      </c>
      <c r="C18" s="78" t="s">
        <v>79</v>
      </c>
      <c r="D18" s="79"/>
      <c r="E18" s="79">
        <v>178842.89</v>
      </c>
      <c r="F18" s="84"/>
      <c r="G18" s="84">
        <v>178842.89</v>
      </c>
      <c r="H18" s="82"/>
    </row>
    <row r="19" spans="1:8" x14ac:dyDescent="0.2">
      <c r="A19" s="59">
        <f t="shared" si="0"/>
        <v>11</v>
      </c>
      <c r="B19" s="77" t="s">
        <v>80</v>
      </c>
      <c r="C19" s="78" t="s">
        <v>81</v>
      </c>
      <c r="D19" s="79"/>
      <c r="E19" s="79">
        <v>10193.69</v>
      </c>
      <c r="F19" s="84"/>
      <c r="G19" s="84">
        <v>10193.69</v>
      </c>
      <c r="H19" s="80"/>
    </row>
    <row r="20" spans="1:8" x14ac:dyDescent="0.2">
      <c r="A20" s="59">
        <f t="shared" si="0"/>
        <v>12</v>
      </c>
      <c r="B20" s="77" t="s">
        <v>82</v>
      </c>
      <c r="C20" s="78" t="s">
        <v>83</v>
      </c>
      <c r="D20" s="79"/>
      <c r="E20" s="79">
        <v>87319.5</v>
      </c>
      <c r="F20" s="84"/>
      <c r="G20" s="84">
        <v>87319.5</v>
      </c>
      <c r="H20" s="85"/>
    </row>
    <row r="21" spans="1:8" x14ac:dyDescent="0.2">
      <c r="A21" s="59">
        <f t="shared" si="0"/>
        <v>13</v>
      </c>
      <c r="B21" s="77" t="s">
        <v>84</v>
      </c>
      <c r="C21" s="78" t="s">
        <v>85</v>
      </c>
      <c r="D21" s="79"/>
      <c r="E21" s="79">
        <v>19061.89</v>
      </c>
      <c r="F21" s="84"/>
      <c r="G21" s="84">
        <v>19074.48</v>
      </c>
      <c r="H21" s="80"/>
    </row>
    <row r="22" spans="1:8" x14ac:dyDescent="0.2">
      <c r="A22" s="59">
        <f t="shared" si="0"/>
        <v>14</v>
      </c>
      <c r="B22" s="77" t="s">
        <v>86</v>
      </c>
      <c r="C22" s="78" t="s">
        <v>87</v>
      </c>
      <c r="D22" s="79"/>
      <c r="E22" s="79">
        <v>58118.61</v>
      </c>
      <c r="F22" s="84"/>
      <c r="G22" s="84">
        <v>58118.61</v>
      </c>
      <c r="H22" s="80"/>
    </row>
    <row r="23" spans="1:8" x14ac:dyDescent="0.2">
      <c r="A23" s="59">
        <f t="shared" si="0"/>
        <v>15</v>
      </c>
      <c r="B23" s="77" t="s">
        <v>88</v>
      </c>
      <c r="C23" s="78" t="s">
        <v>89</v>
      </c>
      <c r="D23" s="79"/>
      <c r="E23" s="79">
        <v>15814.5</v>
      </c>
      <c r="F23" s="84"/>
      <c r="G23" s="84">
        <v>15814.5</v>
      </c>
      <c r="H23" s="82"/>
    </row>
    <row r="24" spans="1:8" x14ac:dyDescent="0.2">
      <c r="A24" s="59">
        <f t="shared" si="0"/>
        <v>16</v>
      </c>
      <c r="B24" s="77" t="s">
        <v>90</v>
      </c>
      <c r="C24" s="78" t="s">
        <v>91</v>
      </c>
      <c r="D24" s="79"/>
      <c r="E24" s="79">
        <v>3432.84</v>
      </c>
      <c r="F24" s="84"/>
      <c r="G24" s="84">
        <v>3432.84</v>
      </c>
      <c r="H24" s="81"/>
    </row>
    <row r="25" spans="1:8" x14ac:dyDescent="0.2">
      <c r="A25" s="59">
        <f t="shared" si="0"/>
        <v>17</v>
      </c>
      <c r="B25" s="77" t="s">
        <v>92</v>
      </c>
      <c r="C25" s="78" t="s">
        <v>93</v>
      </c>
      <c r="D25" s="79"/>
      <c r="E25" s="79">
        <v>16813.599999999999</v>
      </c>
      <c r="F25" s="84"/>
      <c r="G25" s="84">
        <v>17195.59</v>
      </c>
      <c r="H25" s="81"/>
    </row>
    <row r="26" spans="1:8" x14ac:dyDescent="0.2">
      <c r="A26" s="59">
        <f t="shared" si="0"/>
        <v>18</v>
      </c>
      <c r="B26" s="77" t="s">
        <v>94</v>
      </c>
      <c r="C26" s="78" t="s">
        <v>95</v>
      </c>
      <c r="D26" s="79"/>
      <c r="E26" s="79">
        <v>-2047642.44</v>
      </c>
      <c r="F26" s="84"/>
      <c r="G26" s="84">
        <v>-2145658.17</v>
      </c>
      <c r="H26" s="81"/>
    </row>
    <row r="27" spans="1:8" x14ac:dyDescent="0.2">
      <c r="A27" s="59">
        <f t="shared" si="0"/>
        <v>19</v>
      </c>
      <c r="B27" s="77" t="s">
        <v>96</v>
      </c>
      <c r="C27" s="78" t="s">
        <v>97</v>
      </c>
      <c r="D27" s="79"/>
      <c r="E27" s="79">
        <v>-221140.74</v>
      </c>
      <c r="F27" s="84"/>
      <c r="G27" s="84">
        <v>-233166.68</v>
      </c>
      <c r="H27" s="81"/>
    </row>
    <row r="28" spans="1:8" ht="13.5" thickBot="1" x14ac:dyDescent="0.25">
      <c r="E28" s="138">
        <f>SUM(E9:E27)</f>
        <v>1990675.9800000002</v>
      </c>
      <c r="G28" s="138">
        <f>SUM(G9:G27)</f>
        <v>2018585.8300000008</v>
      </c>
    </row>
    <row r="29" spans="1:8" ht="13.5" thickTop="1" x14ac:dyDescent="0.2"/>
  </sheetData>
  <mergeCells count="3">
    <mergeCell ref="B4:G4"/>
    <mergeCell ref="B5:G5"/>
    <mergeCell ref="B6:G6"/>
  </mergeCells>
  <pageMargins left="0.7" right="0.7" top="0.75" bottom="0.75" header="0.3" footer="0.3"/>
  <pageSetup scale="82" fitToHeight="0" orientation="portrait" r:id="rId1"/>
  <ignoredErrors>
    <ignoredError sqref="E28 G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Q7"/>
  <sheetViews>
    <sheetView view="pageBreakPreview" zoomScale="80" zoomScaleNormal="100" zoomScaleSheetLayoutView="80" workbookViewId="0">
      <selection activeCell="A6" sqref="A6"/>
    </sheetView>
  </sheetViews>
  <sheetFormatPr defaultColWidth="9.140625" defaultRowHeight="15" x14ac:dyDescent="0.25"/>
  <cols>
    <col min="1" max="16384" width="9.140625" style="5"/>
  </cols>
  <sheetData>
    <row r="1" spans="2:17" x14ac:dyDescent="0.25">
      <c r="Q1" s="22" t="s">
        <v>29</v>
      </c>
    </row>
    <row r="2" spans="2:17" x14ac:dyDescent="0.25">
      <c r="Q2" s="22" t="str">
        <f>+Cover!A5</f>
        <v>CAUSE NO. 45032-S13</v>
      </c>
    </row>
    <row r="3" spans="2:17" x14ac:dyDescent="0.25">
      <c r="Q3" s="22" t="s">
        <v>98</v>
      </c>
    </row>
    <row r="4" spans="2:17" x14ac:dyDescent="0.25">
      <c r="B4" s="266" t="str">
        <f>+Cover!A1</f>
        <v>South Eastern Indiana Natural Gas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2"/>
    </row>
    <row r="5" spans="2:17" x14ac:dyDescent="0.25">
      <c r="B5" s="267" t="s">
        <v>8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2"/>
    </row>
    <row r="6" spans="2:17" x14ac:dyDescent="0.25"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2"/>
    </row>
    <row r="7" spans="2:17" x14ac:dyDescent="0.25">
      <c r="M7" s="22"/>
    </row>
  </sheetData>
  <mergeCells count="2">
    <mergeCell ref="B4:L4"/>
    <mergeCell ref="B5:L5"/>
  </mergeCells>
  <pageMargins left="0.7" right="0.7" top="0.75" bottom="0.75" header="0.3" footer="0.3"/>
  <pageSetup scale="5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Q6"/>
  <sheetViews>
    <sheetView view="pageBreakPreview" zoomScale="90" zoomScaleNormal="100" zoomScaleSheetLayoutView="90" workbookViewId="0">
      <selection activeCell="A6" sqref="A6"/>
    </sheetView>
  </sheetViews>
  <sheetFormatPr defaultRowHeight="15" x14ac:dyDescent="0.25"/>
  <cols>
    <col min="15" max="15" width="9.140625" customWidth="1"/>
    <col min="16" max="16" width="13.42578125" customWidth="1"/>
  </cols>
  <sheetData>
    <row r="1" spans="2:17" x14ac:dyDescent="0.25"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22" t="s">
        <v>29</v>
      </c>
    </row>
    <row r="2" spans="2:17" x14ac:dyDescent="0.25"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22" t="str">
        <f>+Cover!A5</f>
        <v>CAUSE NO. 45032-S13</v>
      </c>
    </row>
    <row r="3" spans="2:17" x14ac:dyDescent="0.25">
      <c r="B3" s="5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22" t="s">
        <v>99</v>
      </c>
    </row>
    <row r="4" spans="2:17" x14ac:dyDescent="0.25">
      <c r="B4" s="266" t="str">
        <f>+Cover!A1</f>
        <v>South Eastern Indiana Natural Gas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2"/>
      <c r="N4" s="86"/>
      <c r="O4" s="86"/>
      <c r="P4" s="86"/>
      <c r="Q4" s="86"/>
    </row>
    <row r="5" spans="2:17" x14ac:dyDescent="0.25">
      <c r="B5" s="267" t="s">
        <v>10</v>
      </c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2"/>
      <c r="N5" s="86"/>
      <c r="O5" s="86"/>
      <c r="P5" s="86"/>
      <c r="Q5" s="86"/>
    </row>
    <row r="6" spans="2:17" x14ac:dyDescent="0.25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22"/>
      <c r="N6" s="86"/>
      <c r="O6" s="86"/>
      <c r="P6" s="86"/>
      <c r="Q6" s="86"/>
    </row>
  </sheetData>
  <mergeCells count="2">
    <mergeCell ref="B4:L4"/>
    <mergeCell ref="B5:L5"/>
  </mergeCells>
  <pageMargins left="0.7" right="0.7" top="0.75" bottom="0.75" header="0.3" footer="0.3"/>
  <pageSetup scale="5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7"/>
  <sheetViews>
    <sheetView view="pageBreakPreview" zoomScale="120" zoomScaleNormal="100" zoomScaleSheetLayoutView="120" workbookViewId="0">
      <selection activeCell="B8" sqref="B8"/>
    </sheetView>
  </sheetViews>
  <sheetFormatPr defaultRowHeight="15" x14ac:dyDescent="0.25"/>
  <cols>
    <col min="1" max="1" width="11.140625" customWidth="1"/>
    <col min="2" max="2" width="52.42578125" customWidth="1"/>
    <col min="3" max="3" width="15.5703125" customWidth="1"/>
    <col min="4" max="4" width="6.140625" customWidth="1"/>
    <col min="6" max="6" width="8.85546875" bestFit="1" customWidth="1"/>
  </cols>
  <sheetData>
    <row r="1" spans="1:6" x14ac:dyDescent="0.25">
      <c r="A1" s="252"/>
      <c r="B1" s="86"/>
      <c r="C1" s="5"/>
      <c r="D1" s="22" t="s">
        <v>29</v>
      </c>
      <c r="E1" s="5"/>
      <c r="F1" s="5"/>
    </row>
    <row r="2" spans="1:6" x14ac:dyDescent="0.25">
      <c r="A2" s="252"/>
      <c r="B2" s="86"/>
      <c r="C2" s="5"/>
      <c r="D2" s="22" t="str">
        <f>+'(Pg 4) State Depr Report'!Q2</f>
        <v>CAUSE NO. 45032-S13</v>
      </c>
      <c r="E2" s="5"/>
      <c r="F2" s="5"/>
    </row>
    <row r="3" spans="1:6" x14ac:dyDescent="0.25">
      <c r="A3" s="252"/>
      <c r="B3" s="86"/>
      <c r="C3" s="5"/>
      <c r="D3" s="22" t="s">
        <v>100</v>
      </c>
      <c r="E3" s="5"/>
      <c r="F3" s="5"/>
    </row>
    <row r="4" spans="1:6" x14ac:dyDescent="0.25">
      <c r="A4" s="252"/>
      <c r="B4" s="270" t="str">
        <f>+'(Ex 1 Pg 1) Deferred Tax'!B4:D4</f>
        <v>South Eastern Indiana Natural Gas</v>
      </c>
      <c r="C4" s="267"/>
      <c r="D4" s="22"/>
      <c r="E4" s="5"/>
      <c r="F4" s="5"/>
    </row>
    <row r="5" spans="1:6" x14ac:dyDescent="0.25">
      <c r="A5" s="252"/>
      <c r="B5" s="267" t="s">
        <v>12</v>
      </c>
      <c r="C5" s="267"/>
      <c r="D5" s="5"/>
      <c r="E5" s="5"/>
      <c r="F5" s="5"/>
    </row>
    <row r="6" spans="1:6" x14ac:dyDescent="0.25">
      <c r="A6" s="7" t="s">
        <v>32</v>
      </c>
      <c r="B6" s="5"/>
      <c r="C6" s="8" t="s">
        <v>101</v>
      </c>
      <c r="D6" s="9"/>
      <c r="E6" s="5"/>
      <c r="F6" s="5"/>
    </row>
    <row r="7" spans="1:6" x14ac:dyDescent="0.25">
      <c r="A7" s="252">
        <v>1</v>
      </c>
      <c r="B7" s="5" t="s">
        <v>102</v>
      </c>
      <c r="C7" s="6">
        <f>+'(Ex 1 Pg 1) Deferred Tax'!C8</f>
        <v>2018586</v>
      </c>
      <c r="D7" s="6"/>
      <c r="E7" s="5"/>
      <c r="F7" s="5"/>
    </row>
    <row r="8" spans="1:6" x14ac:dyDescent="0.25">
      <c r="A8" s="252">
        <f>+A7+1</f>
        <v>2</v>
      </c>
      <c r="B8" s="5" t="s">
        <v>103</v>
      </c>
      <c r="C8" s="10">
        <f>4388051.68-3561692.78</f>
        <v>826358.89999999991</v>
      </c>
      <c r="D8" s="10"/>
      <c r="E8" s="11"/>
      <c r="F8" s="5"/>
    </row>
    <row r="9" spans="1:6" x14ac:dyDescent="0.25">
      <c r="A9" s="252">
        <f t="shared" ref="A9:A15" si="0">+A8+1</f>
        <v>3</v>
      </c>
      <c r="B9" s="5" t="s">
        <v>104</v>
      </c>
      <c r="C9" s="12"/>
      <c r="D9" s="12"/>
      <c r="E9" s="13"/>
      <c r="F9" s="5"/>
    </row>
    <row r="10" spans="1:6" s="1" customFormat="1" x14ac:dyDescent="0.25">
      <c r="A10" s="254">
        <f t="shared" si="0"/>
        <v>4</v>
      </c>
      <c r="B10" s="122" t="s">
        <v>39</v>
      </c>
      <c r="C10" s="12">
        <f>+'(Ex 1 Pg 1) Deferred Tax'!C11</f>
        <v>-10406</v>
      </c>
      <c r="D10" s="12"/>
      <c r="E10" s="13"/>
      <c r="F10" s="13"/>
    </row>
    <row r="11" spans="1:6" s="1" customFormat="1" x14ac:dyDescent="0.25">
      <c r="A11" s="254">
        <f t="shared" si="0"/>
        <v>5</v>
      </c>
      <c r="B11" s="122" t="s">
        <v>40</v>
      </c>
      <c r="C11" s="12">
        <f>+'(Ex 1 Pg 1) Deferred Tax'!C12</f>
        <v>68269</v>
      </c>
      <c r="D11" s="12"/>
      <c r="E11" s="13"/>
      <c r="F11" s="13"/>
    </row>
    <row r="12" spans="1:6" s="1" customFormat="1" x14ac:dyDescent="0.25">
      <c r="A12" s="254">
        <f t="shared" si="0"/>
        <v>6</v>
      </c>
      <c r="B12" s="122" t="s">
        <v>41</v>
      </c>
      <c r="C12" s="12">
        <f>+'(Ex 1 Pg 1) Deferred Tax'!C13</f>
        <v>42055</v>
      </c>
      <c r="D12" s="12"/>
      <c r="E12" s="13"/>
      <c r="F12" s="13"/>
    </row>
    <row r="13" spans="1:6" s="1" customFormat="1" x14ac:dyDescent="0.25">
      <c r="A13" s="254">
        <f t="shared" si="0"/>
        <v>7</v>
      </c>
      <c r="B13" s="13" t="s">
        <v>42</v>
      </c>
      <c r="C13" s="20">
        <f>-C7+C8+SUM(C10:C12)</f>
        <v>-1092309.1000000001</v>
      </c>
      <c r="D13" s="12"/>
      <c r="E13" s="13"/>
      <c r="F13" s="13"/>
    </row>
    <row r="14" spans="1:6" s="1" customFormat="1" x14ac:dyDescent="0.25">
      <c r="A14" s="254">
        <f t="shared" si="0"/>
        <v>8</v>
      </c>
      <c r="B14" s="13" t="s">
        <v>105</v>
      </c>
      <c r="C14" s="123">
        <v>0.06</v>
      </c>
      <c r="D14" s="123"/>
      <c r="E14" s="13"/>
      <c r="F14" s="13"/>
    </row>
    <row r="15" spans="1:6" s="1" customFormat="1" x14ac:dyDescent="0.25">
      <c r="A15" s="254">
        <f t="shared" si="0"/>
        <v>9</v>
      </c>
      <c r="B15" s="13" t="s">
        <v>106</v>
      </c>
      <c r="C15" s="20">
        <f>+C13*C14</f>
        <v>-65538.546000000002</v>
      </c>
      <c r="D15" s="12"/>
      <c r="E15" s="13"/>
      <c r="F15" s="13"/>
    </row>
    <row r="16" spans="1:6" s="1" customFormat="1" x14ac:dyDescent="0.25">
      <c r="A16" s="254"/>
      <c r="B16" s="13"/>
      <c r="C16" s="21"/>
      <c r="D16" s="12"/>
      <c r="E16" s="13"/>
      <c r="F16" s="13"/>
    </row>
    <row r="17" s="1" customFormat="1" x14ac:dyDescent="0.25"/>
  </sheetData>
  <mergeCells count="2">
    <mergeCell ref="B4:C4"/>
    <mergeCell ref="B5:C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7"/>
  <sheetViews>
    <sheetView view="pageBreakPreview" zoomScale="80" zoomScaleNormal="100" zoomScaleSheetLayoutView="80" workbookViewId="0">
      <selection activeCell="A6" sqref="A6"/>
    </sheetView>
  </sheetViews>
  <sheetFormatPr defaultColWidth="9.140625" defaultRowHeight="15" x14ac:dyDescent="0.25"/>
  <cols>
    <col min="1" max="1" width="7" style="126" customWidth="1"/>
    <col min="2" max="2" width="9.7109375" style="127" customWidth="1"/>
    <col min="3" max="3" width="40.85546875" style="128" bestFit="1" customWidth="1"/>
    <col min="4" max="4" width="17.85546875" style="128" customWidth="1"/>
    <col min="5" max="5" width="23.28515625" style="128" bestFit="1" customWidth="1"/>
    <col min="6" max="6" width="14.42578125" style="128" bestFit="1" customWidth="1"/>
    <col min="7" max="7" width="16.140625" style="128" bestFit="1" customWidth="1"/>
    <col min="8" max="8" width="14.28515625" style="128" bestFit="1" customWidth="1"/>
    <col min="9" max="9" width="13" style="128" customWidth="1"/>
    <col min="10" max="16384" width="9.140625" style="128"/>
  </cols>
  <sheetData>
    <row r="1" spans="1:9" x14ac:dyDescent="0.25">
      <c r="I1" s="129" t="s">
        <v>29</v>
      </c>
    </row>
    <row r="2" spans="1:9" x14ac:dyDescent="0.25">
      <c r="I2" s="129" t="str">
        <f>+'(Pg 5) State Def Tax'!D2</f>
        <v>CAUSE NO. 45032-S13</v>
      </c>
    </row>
    <row r="3" spans="1:9" x14ac:dyDescent="0.25">
      <c r="I3" s="129" t="s">
        <v>107</v>
      </c>
    </row>
    <row r="4" spans="1:9" s="11" customFormat="1" x14ac:dyDescent="0.25">
      <c r="A4" s="253"/>
      <c r="B4" s="274" t="str">
        <f>+Cover!A1</f>
        <v>South Eastern Indiana Natural Gas</v>
      </c>
      <c r="C4" s="274"/>
      <c r="D4" s="274"/>
      <c r="E4" s="274"/>
      <c r="F4" s="274"/>
      <c r="G4" s="274"/>
      <c r="H4" s="274"/>
      <c r="I4" s="274"/>
    </row>
    <row r="5" spans="1:9" s="11" customFormat="1" x14ac:dyDescent="0.25">
      <c r="A5" s="253"/>
      <c r="B5" s="274" t="s">
        <v>14</v>
      </c>
      <c r="C5" s="274"/>
      <c r="D5" s="274"/>
      <c r="E5" s="274"/>
      <c r="F5" s="274"/>
      <c r="G5" s="274"/>
      <c r="H5" s="274"/>
      <c r="I5" s="274"/>
    </row>
    <row r="6" spans="1:9" s="11" customFormat="1" ht="15.75" thickBot="1" x14ac:dyDescent="0.3">
      <c r="A6" s="130"/>
      <c r="B6" s="101"/>
      <c r="C6" s="102"/>
      <c r="D6" s="102"/>
      <c r="E6" s="102"/>
      <c r="F6" s="102"/>
      <c r="G6" s="102"/>
      <c r="H6" s="102"/>
      <c r="I6" s="102"/>
    </row>
    <row r="7" spans="1:9" s="11" customFormat="1" ht="15.75" thickBot="1" x14ac:dyDescent="0.3">
      <c r="A7" s="130" t="s">
        <v>32</v>
      </c>
      <c r="B7" s="275" t="s">
        <v>108</v>
      </c>
      <c r="C7" s="276"/>
      <c r="D7" s="276"/>
      <c r="E7" s="276"/>
      <c r="F7" s="276"/>
      <c r="G7" s="276"/>
      <c r="H7" s="276"/>
      <c r="I7" s="277"/>
    </row>
    <row r="8" spans="1:9" s="11" customFormat="1" x14ac:dyDescent="0.25">
      <c r="A8" s="253"/>
      <c r="B8" s="101"/>
      <c r="C8" s="102"/>
      <c r="D8" s="102"/>
      <c r="E8" s="102"/>
      <c r="F8" s="103" t="s">
        <v>109</v>
      </c>
      <c r="G8" s="103" t="s">
        <v>110</v>
      </c>
      <c r="H8" s="103" t="s">
        <v>111</v>
      </c>
      <c r="I8" s="103" t="s">
        <v>112</v>
      </c>
    </row>
    <row r="9" spans="1:9" s="11" customFormat="1" x14ac:dyDescent="0.25">
      <c r="A9" s="253"/>
      <c r="B9" s="101" t="s">
        <v>113</v>
      </c>
      <c r="C9" s="102"/>
      <c r="D9" s="102"/>
      <c r="E9" s="102"/>
      <c r="F9" s="102"/>
      <c r="G9" s="102"/>
      <c r="H9" s="102"/>
      <c r="I9" s="102"/>
    </row>
    <row r="10" spans="1:9" s="11" customFormat="1" x14ac:dyDescent="0.25">
      <c r="A10" s="253">
        <v>1</v>
      </c>
      <c r="B10" s="101"/>
      <c r="C10" s="104" t="s">
        <v>114</v>
      </c>
      <c r="D10" s="105">
        <v>43100</v>
      </c>
      <c r="E10" s="102"/>
      <c r="F10" s="102"/>
      <c r="G10" s="106">
        <v>2018585.83</v>
      </c>
      <c r="H10" s="102"/>
      <c r="I10" s="102"/>
    </row>
    <row r="11" spans="1:9" s="11" customFormat="1" x14ac:dyDescent="0.25">
      <c r="A11" s="253">
        <f>+A10+1</f>
        <v>2</v>
      </c>
      <c r="B11" s="101"/>
      <c r="C11" s="104" t="s">
        <v>115</v>
      </c>
      <c r="D11" s="105">
        <v>43100</v>
      </c>
      <c r="E11" s="102"/>
      <c r="F11" s="102"/>
      <c r="G11" s="131">
        <v>826358.89999999991</v>
      </c>
      <c r="H11" s="102"/>
      <c r="I11" s="102"/>
    </row>
    <row r="12" spans="1:9" s="11" customFormat="1" x14ac:dyDescent="0.25">
      <c r="A12" s="253"/>
      <c r="B12" s="101"/>
      <c r="C12" s="102"/>
      <c r="D12" s="102"/>
      <c r="E12" s="102"/>
      <c r="F12" s="102"/>
      <c r="G12" s="102"/>
      <c r="H12" s="102"/>
      <c r="I12" s="102"/>
    </row>
    <row r="13" spans="1:9" s="11" customFormat="1" x14ac:dyDescent="0.25">
      <c r="A13" s="253">
        <f>+A11+1</f>
        <v>3</v>
      </c>
      <c r="B13" s="101"/>
      <c r="C13" s="102"/>
      <c r="D13" s="104" t="s">
        <v>116</v>
      </c>
      <c r="E13" s="102"/>
      <c r="F13" s="102"/>
      <c r="G13" s="107">
        <v>-1192226.9300000002</v>
      </c>
      <c r="H13" s="102"/>
      <c r="I13" s="102"/>
    </row>
    <row r="14" spans="1:9" s="11" customFormat="1" x14ac:dyDescent="0.25">
      <c r="A14" s="253"/>
      <c r="B14" s="101"/>
      <c r="C14" s="102"/>
      <c r="D14" s="104"/>
      <c r="E14" s="102"/>
      <c r="F14" s="102"/>
      <c r="G14" s="107"/>
      <c r="H14" s="102"/>
      <c r="I14" s="102"/>
    </row>
    <row r="15" spans="1:9" s="11" customFormat="1" x14ac:dyDescent="0.25">
      <c r="A15" s="253">
        <f>+A13+1</f>
        <v>4</v>
      </c>
      <c r="B15" s="101"/>
      <c r="C15" s="101"/>
      <c r="D15" s="102" t="s">
        <v>117</v>
      </c>
      <c r="E15" s="102"/>
      <c r="F15" s="132">
        <v>-10406</v>
      </c>
      <c r="G15" s="107"/>
      <c r="H15" s="132"/>
      <c r="I15" s="102"/>
    </row>
    <row r="16" spans="1:9" x14ac:dyDescent="0.25">
      <c r="A16" s="253">
        <f>+A15+1</f>
        <v>5</v>
      </c>
      <c r="B16" s="108"/>
      <c r="C16" s="108"/>
      <c r="D16" s="109" t="s">
        <v>118</v>
      </c>
      <c r="E16" s="109"/>
      <c r="F16" s="114"/>
      <c r="G16" s="120"/>
      <c r="H16" s="114">
        <v>42054.74</v>
      </c>
      <c r="I16" s="109"/>
    </row>
    <row r="17" spans="1:9" x14ac:dyDescent="0.25">
      <c r="A17" s="253">
        <f t="shared" ref="A17:A20" si="0">+A16+1</f>
        <v>6</v>
      </c>
      <c r="B17" s="108"/>
      <c r="C17" s="108"/>
      <c r="D17" s="109" t="s">
        <v>119</v>
      </c>
      <c r="E17" s="109"/>
      <c r="F17" s="109"/>
      <c r="G17" s="109"/>
      <c r="H17" s="109"/>
      <c r="I17" s="110">
        <v>0</v>
      </c>
    </row>
    <row r="18" spans="1:9" x14ac:dyDescent="0.25">
      <c r="A18" s="253">
        <f t="shared" si="0"/>
        <v>7</v>
      </c>
      <c r="B18" s="108"/>
      <c r="C18" s="108"/>
      <c r="D18" s="109" t="s">
        <v>120</v>
      </c>
      <c r="E18" s="109"/>
      <c r="F18" s="109"/>
      <c r="G18" s="109"/>
      <c r="H18" s="109"/>
      <c r="I18" s="110">
        <v>68269.11</v>
      </c>
    </row>
    <row r="19" spans="1:9" x14ac:dyDescent="0.25">
      <c r="A19" s="253">
        <f t="shared" si="0"/>
        <v>8</v>
      </c>
      <c r="B19" s="108"/>
      <c r="C19" s="109"/>
      <c r="D19" s="109"/>
      <c r="E19" s="111" t="s">
        <v>121</v>
      </c>
      <c r="F19" s="112">
        <v>-10406</v>
      </c>
      <c r="G19" s="112">
        <v>-1192226.9300000002</v>
      </c>
      <c r="H19" s="112">
        <v>42054.74</v>
      </c>
      <c r="I19" s="112">
        <v>68269.11</v>
      </c>
    </row>
    <row r="20" spans="1:9" x14ac:dyDescent="0.25">
      <c r="A20" s="253">
        <f t="shared" si="0"/>
        <v>9</v>
      </c>
      <c r="B20" s="108"/>
      <c r="C20" s="111" t="s">
        <v>122</v>
      </c>
      <c r="D20" s="113">
        <v>0.06</v>
      </c>
      <c r="E20" s="114">
        <v>-65538.544800000003</v>
      </c>
      <c r="F20" s="114">
        <f t="shared" ref="F20:G20" si="1">+F19*0.06</f>
        <v>-624.36</v>
      </c>
      <c r="G20" s="114">
        <f t="shared" si="1"/>
        <v>-71533.615800000014</v>
      </c>
      <c r="H20" s="114">
        <f>+H19*0.06</f>
        <v>2523.2844</v>
      </c>
      <c r="I20" s="114">
        <f>+I19*0.06</f>
        <v>4096.1466</v>
      </c>
    </row>
    <row r="21" spans="1:9" x14ac:dyDescent="0.25">
      <c r="B21" s="108"/>
      <c r="C21" s="111"/>
      <c r="D21" s="113"/>
      <c r="E21" s="114"/>
      <c r="F21" s="114"/>
      <c r="G21" s="114"/>
      <c r="H21" s="114"/>
      <c r="I21" s="114"/>
    </row>
    <row r="22" spans="1:9" ht="15.75" thickBot="1" x14ac:dyDescent="0.3">
      <c r="A22" s="126">
        <f>+A20+1</f>
        <v>10</v>
      </c>
      <c r="B22" s="108"/>
      <c r="C22" s="109"/>
      <c r="D22" s="115" t="s">
        <v>123</v>
      </c>
      <c r="E22" s="116">
        <f>SUM(F22:I22)</f>
        <v>-65538.544800000003</v>
      </c>
      <c r="F22" s="117">
        <f t="shared" ref="F22:H22" si="2">+F20</f>
        <v>-624.36</v>
      </c>
      <c r="G22" s="117">
        <f t="shared" si="2"/>
        <v>-71533.615800000014</v>
      </c>
      <c r="H22" s="117">
        <f t="shared" si="2"/>
        <v>2523.2844</v>
      </c>
      <c r="I22" s="117">
        <f>+I20</f>
        <v>4096.1466</v>
      </c>
    </row>
    <row r="23" spans="1:9" x14ac:dyDescent="0.25">
      <c r="A23" s="126">
        <f>+A22+1</f>
        <v>11</v>
      </c>
      <c r="B23" s="108"/>
      <c r="C23" s="109"/>
      <c r="D23" s="109" t="s">
        <v>124</v>
      </c>
      <c r="E23" s="110">
        <v>0</v>
      </c>
      <c r="F23" s="109"/>
      <c r="G23" s="114"/>
      <c r="H23" s="109"/>
      <c r="I23" s="109"/>
    </row>
    <row r="24" spans="1:9" ht="15.75" thickBot="1" x14ac:dyDescent="0.3">
      <c r="B24" s="108"/>
      <c r="C24" s="109"/>
      <c r="D24" s="109"/>
      <c r="E24" s="109"/>
      <c r="F24" s="109"/>
      <c r="G24" s="109"/>
      <c r="H24" s="109"/>
      <c r="I24" s="109"/>
    </row>
    <row r="25" spans="1:9" ht="15.75" thickBot="1" x14ac:dyDescent="0.3">
      <c r="B25" s="271" t="s">
        <v>125</v>
      </c>
      <c r="C25" s="272"/>
      <c r="D25" s="272"/>
      <c r="E25" s="272"/>
      <c r="F25" s="272"/>
      <c r="G25" s="272"/>
      <c r="H25" s="272"/>
      <c r="I25" s="273"/>
    </row>
    <row r="26" spans="1:9" x14ac:dyDescent="0.25">
      <c r="B26" s="108"/>
      <c r="C26" s="109"/>
      <c r="D26" s="109"/>
      <c r="E26" s="109"/>
      <c r="F26" s="118" t="s">
        <v>109</v>
      </c>
      <c r="G26" s="118" t="s">
        <v>110</v>
      </c>
      <c r="H26" s="118" t="s">
        <v>111</v>
      </c>
      <c r="I26" s="118" t="s">
        <v>112</v>
      </c>
    </row>
    <row r="27" spans="1:9" x14ac:dyDescent="0.25">
      <c r="B27" s="108" t="s">
        <v>113</v>
      </c>
      <c r="C27" s="109"/>
      <c r="D27" s="109"/>
      <c r="E27" s="109"/>
      <c r="F27" s="109"/>
      <c r="G27" s="109"/>
      <c r="H27" s="109"/>
      <c r="I27" s="109"/>
    </row>
    <row r="28" spans="1:9" x14ac:dyDescent="0.25">
      <c r="A28" s="126">
        <f>+A23+1</f>
        <v>12</v>
      </c>
      <c r="B28" s="108"/>
      <c r="C28" s="111" t="s">
        <v>114</v>
      </c>
      <c r="D28" s="119">
        <v>43100</v>
      </c>
      <c r="E28" s="109"/>
      <c r="F28" s="109"/>
      <c r="G28" s="110">
        <v>2018585.83</v>
      </c>
      <c r="H28" s="109"/>
      <c r="I28" s="109"/>
    </row>
    <row r="29" spans="1:9" x14ac:dyDescent="0.25">
      <c r="A29" s="126">
        <f>+A28+1</f>
        <v>13</v>
      </c>
      <c r="B29" s="108"/>
      <c r="C29" s="111" t="s">
        <v>115</v>
      </c>
      <c r="D29" s="119">
        <v>43100</v>
      </c>
      <c r="E29" s="109"/>
      <c r="F29" s="109"/>
      <c r="G29" s="133">
        <v>497578.89999999991</v>
      </c>
      <c r="H29" s="109"/>
      <c r="I29" s="109"/>
    </row>
    <row r="30" spans="1:9" x14ac:dyDescent="0.25">
      <c r="B30" s="108"/>
      <c r="C30" s="111"/>
      <c r="D30" s="119"/>
      <c r="E30" s="109"/>
      <c r="F30" s="109"/>
      <c r="G30" s="110"/>
      <c r="H30" s="109"/>
      <c r="I30" s="109"/>
    </row>
    <row r="31" spans="1:9" x14ac:dyDescent="0.25">
      <c r="A31" s="126">
        <f>+A29+1</f>
        <v>14</v>
      </c>
      <c r="B31" s="108"/>
      <c r="C31" s="109"/>
      <c r="D31" s="111" t="s">
        <v>116</v>
      </c>
      <c r="E31" s="109"/>
      <c r="F31" s="109"/>
      <c r="G31" s="120">
        <v>-1521006.9300000002</v>
      </c>
      <c r="H31" s="109"/>
      <c r="I31" s="109"/>
    </row>
    <row r="32" spans="1:9" x14ac:dyDescent="0.25">
      <c r="B32" s="108"/>
      <c r="C32" s="109"/>
      <c r="D32" s="111"/>
      <c r="E32" s="109"/>
      <c r="F32" s="109"/>
      <c r="G32" s="120"/>
      <c r="H32" s="109"/>
      <c r="I32" s="109"/>
    </row>
    <row r="33" spans="1:9" x14ac:dyDescent="0.25">
      <c r="A33" s="126">
        <f>+A31+1</f>
        <v>15</v>
      </c>
      <c r="B33" s="108"/>
      <c r="C33" s="108"/>
      <c r="D33" s="109" t="s">
        <v>117</v>
      </c>
      <c r="E33" s="109"/>
      <c r="F33" s="114">
        <v>-10406</v>
      </c>
      <c r="G33" s="120"/>
      <c r="H33" s="114"/>
      <c r="I33" s="109"/>
    </row>
    <row r="34" spans="1:9" x14ac:dyDescent="0.25">
      <c r="A34" s="126">
        <f>+A33+1</f>
        <v>16</v>
      </c>
      <c r="B34" s="108"/>
      <c r="C34" s="108"/>
      <c r="D34" s="109" t="s">
        <v>118</v>
      </c>
      <c r="E34" s="109"/>
      <c r="F34" s="114"/>
      <c r="G34" s="120"/>
      <c r="H34" s="114">
        <v>42054.74</v>
      </c>
      <c r="I34" s="109"/>
    </row>
    <row r="35" spans="1:9" x14ac:dyDescent="0.25">
      <c r="A35" s="126">
        <f t="shared" ref="A35:A37" si="3">+A34+1</f>
        <v>17</v>
      </c>
      <c r="B35" s="108"/>
      <c r="C35" s="108"/>
      <c r="D35" s="109" t="s">
        <v>119</v>
      </c>
      <c r="E35" s="109"/>
      <c r="F35" s="109"/>
      <c r="G35" s="109"/>
      <c r="H35" s="109"/>
      <c r="I35" s="110">
        <v>0</v>
      </c>
    </row>
    <row r="36" spans="1:9" x14ac:dyDescent="0.25">
      <c r="A36" s="126">
        <f t="shared" si="3"/>
        <v>18</v>
      </c>
      <c r="B36" s="108"/>
      <c r="C36" s="108"/>
      <c r="D36" s="109" t="s">
        <v>120</v>
      </c>
      <c r="E36" s="109"/>
      <c r="F36" s="114"/>
      <c r="G36" s="109"/>
      <c r="H36" s="109"/>
      <c r="I36" s="110">
        <v>68269.11</v>
      </c>
    </row>
    <row r="37" spans="1:9" x14ac:dyDescent="0.25">
      <c r="A37" s="126">
        <f t="shared" si="3"/>
        <v>19</v>
      </c>
      <c r="B37" s="108"/>
      <c r="C37" s="109"/>
      <c r="D37" s="109"/>
      <c r="E37" s="111" t="s">
        <v>121</v>
      </c>
      <c r="F37" s="112">
        <v>-10406</v>
      </c>
      <c r="G37" s="112">
        <v>-1521006.9300000002</v>
      </c>
      <c r="H37" s="112">
        <v>42054.74</v>
      </c>
      <c r="I37" s="112">
        <v>68269.11</v>
      </c>
    </row>
    <row r="38" spans="1:9" x14ac:dyDescent="0.25">
      <c r="B38" s="108"/>
      <c r="C38" s="109"/>
      <c r="D38" s="109"/>
      <c r="E38" s="109"/>
      <c r="F38" s="109"/>
      <c r="G38" s="109"/>
      <c r="H38" s="109"/>
      <c r="I38" s="109"/>
    </row>
    <row r="39" spans="1:9" x14ac:dyDescent="0.25">
      <c r="A39" s="126">
        <f>+A37+1</f>
        <v>20</v>
      </c>
      <c r="B39" s="108"/>
      <c r="C39" s="111" t="s">
        <v>126</v>
      </c>
      <c r="D39" s="121">
        <v>0.34</v>
      </c>
      <c r="E39" s="114">
        <f>SUM(F39:I39)</f>
        <v>-460887.18196800008</v>
      </c>
      <c r="F39" s="114">
        <f t="shared" ref="F39:H39" si="4">(F37-F22)*$D$39</f>
        <v>-3325.7575999999999</v>
      </c>
      <c r="G39" s="114">
        <f t="shared" si="4"/>
        <v>-492820.92682800005</v>
      </c>
      <c r="H39" s="114">
        <f t="shared" si="4"/>
        <v>13440.694904000002</v>
      </c>
      <c r="I39" s="114">
        <f>(I37-I22)*$D$39</f>
        <v>21818.807556000003</v>
      </c>
    </row>
    <row r="40" spans="1:9" x14ac:dyDescent="0.25">
      <c r="A40" s="126">
        <f>+A39+1</f>
        <v>21</v>
      </c>
      <c r="B40" s="108"/>
      <c r="C40" s="111" t="s">
        <v>126</v>
      </c>
      <c r="D40" s="121">
        <v>0.21</v>
      </c>
      <c r="E40" s="114">
        <f>SUM(F40:I40)</f>
        <v>-284665.61239200004</v>
      </c>
      <c r="F40" s="114">
        <f t="shared" ref="F40:H40" si="5">(F37-F22)*$D$40</f>
        <v>-2054.1443999999997</v>
      </c>
      <c r="G40" s="114">
        <f t="shared" si="5"/>
        <v>-304389.39598200005</v>
      </c>
      <c r="H40" s="114">
        <f t="shared" si="5"/>
        <v>8301.6056759999992</v>
      </c>
      <c r="I40" s="114">
        <f>(I37-I22)*$D$40</f>
        <v>13476.322313999999</v>
      </c>
    </row>
    <row r="41" spans="1:9" x14ac:dyDescent="0.25">
      <c r="A41" s="126">
        <f t="shared" ref="A41:A44" si="6">+A40+1</f>
        <v>22</v>
      </c>
      <c r="B41" s="108"/>
      <c r="C41" s="111"/>
      <c r="D41" s="121" t="s">
        <v>127</v>
      </c>
      <c r="E41" s="114">
        <f>SUM(F41:I41)</f>
        <v>-176221.56957600001</v>
      </c>
      <c r="F41" s="114">
        <f t="shared" ref="F41:H41" si="7">F39-F40</f>
        <v>-1271.6132000000002</v>
      </c>
      <c r="G41" s="114">
        <f t="shared" si="7"/>
        <v>-188431.53084600001</v>
      </c>
      <c r="H41" s="114">
        <f t="shared" si="7"/>
        <v>5139.0892280000025</v>
      </c>
      <c r="I41" s="114">
        <f>I39-I40</f>
        <v>8342.4852420000043</v>
      </c>
    </row>
    <row r="42" spans="1:9" x14ac:dyDescent="0.25">
      <c r="B42" s="108"/>
      <c r="C42" s="109"/>
      <c r="D42" s="109"/>
      <c r="E42" s="109"/>
      <c r="F42" s="109"/>
      <c r="G42" s="109"/>
      <c r="H42" s="109"/>
      <c r="I42" s="109"/>
    </row>
    <row r="43" spans="1:9" ht="15.75" thickBot="1" x14ac:dyDescent="0.3">
      <c r="A43" s="126">
        <f>+A41+1</f>
        <v>23</v>
      </c>
      <c r="B43" s="108"/>
      <c r="C43" s="109"/>
      <c r="D43" s="115" t="s">
        <v>128</v>
      </c>
      <c r="E43" s="117">
        <f>SUM(F43:I43)</f>
        <v>-284665.61239200004</v>
      </c>
      <c r="F43" s="117">
        <f t="shared" ref="F43:H43" si="8">+F40</f>
        <v>-2054.1443999999997</v>
      </c>
      <c r="G43" s="117">
        <f t="shared" si="8"/>
        <v>-304389.39598200005</v>
      </c>
      <c r="H43" s="117">
        <f t="shared" si="8"/>
        <v>8301.6056759999992</v>
      </c>
      <c r="I43" s="117">
        <f>+I40</f>
        <v>13476.322313999999</v>
      </c>
    </row>
    <row r="44" spans="1:9" x14ac:dyDescent="0.25">
      <c r="A44" s="126">
        <f t="shared" si="6"/>
        <v>24</v>
      </c>
      <c r="B44" s="108"/>
      <c r="C44" s="109"/>
      <c r="D44" s="109" t="s">
        <v>124</v>
      </c>
      <c r="E44" s="110">
        <v>1.6060000634752214E-3</v>
      </c>
      <c r="F44" s="109"/>
      <c r="G44" s="114"/>
      <c r="H44" s="109"/>
      <c r="I44" s="109"/>
    </row>
    <row r="45" spans="1:9" ht="15.75" thickBot="1" x14ac:dyDescent="0.3">
      <c r="B45" s="108"/>
      <c r="C45" s="109"/>
      <c r="D45" s="109"/>
      <c r="E45" s="110"/>
      <c r="F45" s="109"/>
      <c r="G45" s="114"/>
      <c r="H45" s="109"/>
      <c r="I45" s="109"/>
    </row>
    <row r="46" spans="1:9" ht="15.75" thickBot="1" x14ac:dyDescent="0.3">
      <c r="B46" s="271" t="s">
        <v>129</v>
      </c>
      <c r="C46" s="272"/>
      <c r="D46" s="272"/>
      <c r="E46" s="272"/>
      <c r="F46" s="272"/>
      <c r="G46" s="272"/>
      <c r="H46" s="272"/>
      <c r="I46" s="273"/>
    </row>
    <row r="47" spans="1:9" x14ac:dyDescent="0.25">
      <c r="B47" s="108"/>
      <c r="C47" s="109"/>
      <c r="D47" s="109"/>
      <c r="E47" s="109"/>
      <c r="F47" s="109"/>
      <c r="G47" s="109"/>
      <c r="H47" s="109"/>
      <c r="I47" s="109"/>
    </row>
  </sheetData>
  <mergeCells count="5">
    <mergeCell ref="B46:I46"/>
    <mergeCell ref="B4:I4"/>
    <mergeCell ref="B5:I5"/>
    <mergeCell ref="B7:I7"/>
    <mergeCell ref="B25:I25"/>
  </mergeCells>
  <pageMargins left="0.7" right="0.7" top="0.75" bottom="0.75" header="0.3" footer="0.3"/>
  <pageSetup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L31"/>
  <sheetViews>
    <sheetView view="pageBreakPreview" zoomScale="90" zoomScaleNormal="100" zoomScaleSheetLayoutView="90" workbookViewId="0">
      <selection activeCell="D14" sqref="D14"/>
    </sheetView>
  </sheetViews>
  <sheetFormatPr defaultColWidth="9.140625" defaultRowHeight="15" x14ac:dyDescent="0.25"/>
  <cols>
    <col min="1" max="1" width="9.28515625" style="4" bestFit="1" customWidth="1"/>
    <col min="2" max="2" width="51" style="5" bestFit="1" customWidth="1"/>
    <col min="3" max="3" width="16.140625" style="5" customWidth="1"/>
    <col min="4" max="4" width="17.85546875" style="5" customWidth="1"/>
    <col min="5" max="5" width="14.85546875" style="5" bestFit="1" customWidth="1"/>
    <col min="6" max="6" width="13.85546875" style="5" bestFit="1" customWidth="1"/>
    <col min="7" max="8" width="13.5703125" style="5" bestFit="1" customWidth="1"/>
    <col min="9" max="9" width="1.7109375" style="5" customWidth="1"/>
    <col min="10" max="10" width="9.42578125" style="5" bestFit="1" customWidth="1"/>
    <col min="11" max="11" width="13" style="5" bestFit="1" customWidth="1"/>
    <col min="12" max="12" width="5.28515625" style="24" customWidth="1"/>
    <col min="13" max="15" width="12" style="5" bestFit="1" customWidth="1"/>
    <col min="16" max="16" width="12.42578125" style="5" bestFit="1" customWidth="1"/>
    <col min="17" max="18" width="12" style="5" bestFit="1" customWidth="1"/>
    <col min="19" max="28" width="10.42578125" style="5" bestFit="1" customWidth="1"/>
    <col min="29" max="35" width="9.28515625" style="5" bestFit="1" customWidth="1"/>
    <col min="36" max="16384" width="9.140625" style="5"/>
  </cols>
  <sheetData>
    <row r="1" spans="1:38" x14ac:dyDescent="0.25">
      <c r="A1" s="252"/>
      <c r="L1" s="22" t="s">
        <v>130</v>
      </c>
    </row>
    <row r="2" spans="1:38" x14ac:dyDescent="0.25">
      <c r="A2" s="252"/>
      <c r="L2" s="22" t="str">
        <f>+Cover!A5</f>
        <v>CAUSE NO. 45032-S13</v>
      </c>
    </row>
    <row r="3" spans="1:38" s="13" customFormat="1" x14ac:dyDescent="0.25">
      <c r="A3" s="254"/>
      <c r="C3" s="254"/>
      <c r="D3" s="254"/>
      <c r="E3" s="254"/>
      <c r="F3" s="254"/>
      <c r="G3" s="254"/>
      <c r="H3" s="254"/>
      <c r="L3" s="22" t="s">
        <v>30</v>
      </c>
    </row>
    <row r="4" spans="1:38" x14ac:dyDescent="0.25">
      <c r="A4" s="252"/>
      <c r="B4" s="266" t="str">
        <f>+Cover!A1</f>
        <v>South Eastern Indiana Natural Gas</v>
      </c>
      <c r="C4" s="266"/>
      <c r="D4" s="266"/>
      <c r="E4" s="266"/>
      <c r="F4" s="266"/>
      <c r="G4" s="266"/>
      <c r="H4" s="266"/>
      <c r="I4" s="266"/>
      <c r="J4" s="266"/>
      <c r="K4" s="266"/>
      <c r="L4" s="26"/>
    </row>
    <row r="5" spans="1:38" x14ac:dyDescent="0.25">
      <c r="A5" s="252"/>
      <c r="B5" s="278" t="s">
        <v>131</v>
      </c>
      <c r="C5" s="278"/>
      <c r="D5" s="278"/>
      <c r="E5" s="278"/>
      <c r="F5" s="278"/>
      <c r="G5" s="278"/>
      <c r="H5" s="278"/>
      <c r="I5" s="278"/>
      <c r="J5" s="278"/>
      <c r="K5" s="278"/>
      <c r="L5" s="26"/>
    </row>
    <row r="6" spans="1:38" x14ac:dyDescent="0.25">
      <c r="A6" s="252"/>
      <c r="B6" s="279">
        <v>43100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38" x14ac:dyDescent="0.25">
      <c r="A7" s="252"/>
      <c r="B7" s="255"/>
      <c r="C7" s="255"/>
      <c r="D7" s="255"/>
      <c r="E7" s="255"/>
      <c r="F7" s="255"/>
      <c r="G7" s="255"/>
      <c r="H7" s="255"/>
      <c r="I7" s="255"/>
      <c r="J7" s="67"/>
      <c r="K7" s="255"/>
    </row>
    <row r="8" spans="1:38" x14ac:dyDescent="0.25">
      <c r="A8" s="7" t="s">
        <v>59</v>
      </c>
      <c r="B8" s="34" t="s">
        <v>60</v>
      </c>
      <c r="C8" s="35" t="s">
        <v>132</v>
      </c>
      <c r="D8" s="34" t="s">
        <v>133</v>
      </c>
      <c r="E8" s="34" t="s">
        <v>134</v>
      </c>
      <c r="F8" s="36">
        <v>0.34</v>
      </c>
      <c r="G8" s="36">
        <v>0.21</v>
      </c>
      <c r="H8" s="34" t="s">
        <v>127</v>
      </c>
      <c r="J8" s="34" t="s">
        <v>135</v>
      </c>
      <c r="K8" s="34" t="s">
        <v>136</v>
      </c>
      <c r="L8" s="37"/>
      <c r="M8" s="38" t="s">
        <v>137</v>
      </c>
      <c r="N8" s="38" t="s">
        <v>138</v>
      </c>
      <c r="O8" s="38" t="s">
        <v>139</v>
      </c>
      <c r="P8" s="38" t="s">
        <v>140</v>
      </c>
      <c r="Q8" s="38" t="s">
        <v>141</v>
      </c>
      <c r="R8" s="38" t="s">
        <v>142</v>
      </c>
      <c r="S8" s="38" t="s">
        <v>143</v>
      </c>
      <c r="T8" s="38" t="s">
        <v>144</v>
      </c>
      <c r="U8" s="38" t="s">
        <v>145</v>
      </c>
      <c r="V8" s="38" t="s">
        <v>146</v>
      </c>
      <c r="W8" s="38" t="s">
        <v>147</v>
      </c>
      <c r="X8" s="38" t="s">
        <v>148</v>
      </c>
      <c r="Y8" s="38" t="s">
        <v>149</v>
      </c>
      <c r="Z8" s="38" t="s">
        <v>150</v>
      </c>
      <c r="AA8" s="38" t="s">
        <v>151</v>
      </c>
      <c r="AB8" s="38" t="s">
        <v>152</v>
      </c>
      <c r="AC8" s="38" t="s">
        <v>153</v>
      </c>
      <c r="AD8" s="38" t="s">
        <v>154</v>
      </c>
      <c r="AE8" s="38" t="s">
        <v>155</v>
      </c>
      <c r="AF8" s="38" t="s">
        <v>156</v>
      </c>
      <c r="AG8" s="38" t="s">
        <v>157</v>
      </c>
      <c r="AH8" s="38" t="s">
        <v>158</v>
      </c>
      <c r="AI8" s="38" t="s">
        <v>159</v>
      </c>
      <c r="AJ8" s="38" t="s">
        <v>160</v>
      </c>
      <c r="AK8" s="38" t="s">
        <v>161</v>
      </c>
      <c r="AL8" s="38" t="s">
        <v>162</v>
      </c>
    </row>
    <row r="9" spans="1:38" x14ac:dyDescent="0.25">
      <c r="A9" s="252">
        <v>1</v>
      </c>
      <c r="B9" s="40" t="s">
        <v>163</v>
      </c>
      <c r="C9" s="41">
        <f>+'(Ex 2 Pg 2)Book Depr'!G9</f>
        <v>0</v>
      </c>
      <c r="D9" s="18">
        <f>+'(Ex 2 Pg 3)Fed Depr'!G9</f>
        <v>0</v>
      </c>
      <c r="E9" s="18">
        <f>C9-D9</f>
        <v>0</v>
      </c>
      <c r="F9" s="42">
        <f>E9*$F$8</f>
        <v>0</v>
      </c>
      <c r="G9" s="18">
        <f>E9*$G$8</f>
        <v>0</v>
      </c>
      <c r="H9" s="18">
        <f>F9-G9</f>
        <v>0</v>
      </c>
      <c r="J9" s="6">
        <v>0</v>
      </c>
      <c r="K9" s="91">
        <v>0</v>
      </c>
      <c r="L9" s="91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</row>
    <row r="10" spans="1:38" x14ac:dyDescent="0.25">
      <c r="A10" s="252">
        <f>+A9+1</f>
        <v>2</v>
      </c>
      <c r="B10" s="40" t="s">
        <v>164</v>
      </c>
      <c r="C10" s="41">
        <f>+'(Ex 2 Pg 2)Book Depr'!G10</f>
        <v>0</v>
      </c>
      <c r="D10" s="42">
        <f>+'(Ex 2 Pg 3)Fed Depr'!G10</f>
        <v>0</v>
      </c>
      <c r="E10" s="42">
        <f t="shared" ref="E10:E25" si="0">C10-D10</f>
        <v>0</v>
      </c>
      <c r="F10" s="42">
        <f t="shared" ref="F10:F25" si="1">E10*$F$8</f>
        <v>0</v>
      </c>
      <c r="G10" s="42">
        <f t="shared" ref="G10:G25" si="2">E10*$G$8</f>
        <v>0</v>
      </c>
      <c r="H10" s="42">
        <f t="shared" ref="H10:H25" si="3">F10-G10</f>
        <v>0</v>
      </c>
      <c r="J10" s="6">
        <v>0</v>
      </c>
      <c r="K10" s="91">
        <v>0</v>
      </c>
      <c r="L10" s="91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</row>
    <row r="11" spans="1:38" x14ac:dyDescent="0.25">
      <c r="A11" s="252">
        <f t="shared" ref="A11:A27" si="4">+A10+1</f>
        <v>3</v>
      </c>
      <c r="B11" s="40" t="s">
        <v>165</v>
      </c>
      <c r="C11" s="41">
        <f>+'(Ex 2 Pg 2)Book Depr'!G11</f>
        <v>405.70000000000073</v>
      </c>
      <c r="D11" s="42">
        <f>+'(Ex 2 Pg 3)Fed Depr'!G11</f>
        <v>160.13999999999942</v>
      </c>
      <c r="E11" s="42">
        <f t="shared" si="0"/>
        <v>245.56000000000131</v>
      </c>
      <c r="F11" s="42">
        <f>E11*$F$8</f>
        <v>83.490400000000449</v>
      </c>
      <c r="G11" s="42">
        <f t="shared" si="2"/>
        <v>51.567600000000276</v>
      </c>
      <c r="H11" s="42">
        <f t="shared" si="3"/>
        <v>31.922800000000173</v>
      </c>
      <c r="J11" s="6">
        <f>+'(Ex 2 Pg 4) Useful Lives'!X57</f>
        <v>8.75</v>
      </c>
      <c r="K11" s="91">
        <f>H11/J11</f>
        <v>3.6483200000000195</v>
      </c>
      <c r="L11" s="91"/>
      <c r="M11" s="25">
        <f>$K11</f>
        <v>3.6483200000000195</v>
      </c>
      <c r="N11" s="25">
        <f>+M11</f>
        <v>3.6483200000000195</v>
      </c>
      <c r="O11" s="25">
        <f t="shared" ref="O11:U11" si="5">+N11</f>
        <v>3.6483200000000195</v>
      </c>
      <c r="P11" s="25">
        <f t="shared" si="5"/>
        <v>3.6483200000000195</v>
      </c>
      <c r="Q11" s="25">
        <f t="shared" si="5"/>
        <v>3.6483200000000195</v>
      </c>
      <c r="R11" s="25">
        <f t="shared" si="5"/>
        <v>3.6483200000000195</v>
      </c>
      <c r="S11" s="25">
        <f t="shared" si="5"/>
        <v>3.6483200000000195</v>
      </c>
      <c r="T11" s="25">
        <f t="shared" si="5"/>
        <v>3.6483200000000195</v>
      </c>
      <c r="U11" s="25">
        <f t="shared" si="5"/>
        <v>3.6483200000000195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</row>
    <row r="12" spans="1:38" x14ac:dyDescent="0.25">
      <c r="A12" s="252">
        <f t="shared" si="4"/>
        <v>4</v>
      </c>
      <c r="B12" s="40" t="s">
        <v>166</v>
      </c>
      <c r="C12" s="41">
        <f>+'(Ex 2 Pg 2)Book Depr'!G12</f>
        <v>200.48999999999995</v>
      </c>
      <c r="D12" s="42">
        <f>+'(Ex 2 Pg 3)Fed Depr'!G12</f>
        <v>3.6599999999999682</v>
      </c>
      <c r="E12" s="42">
        <f t="shared" si="0"/>
        <v>196.82999999999998</v>
      </c>
      <c r="F12" s="42">
        <f>E12*$F$8</f>
        <v>66.922200000000004</v>
      </c>
      <c r="G12" s="42">
        <f t="shared" si="2"/>
        <v>41.334299999999992</v>
      </c>
      <c r="H12" s="42">
        <f t="shared" si="3"/>
        <v>25.587900000000012</v>
      </c>
      <c r="J12" s="6">
        <f>+'(Ex 2 Pg 4) Useful Lives'!X69</f>
        <v>14.699999999999998</v>
      </c>
      <c r="K12" s="91">
        <f t="shared" ref="K12:K25" si="6">H12/J12</f>
        <v>1.7406734693877561</v>
      </c>
      <c r="L12" s="91"/>
      <c r="M12" s="25">
        <f>$K12</f>
        <v>1.7406734693877561</v>
      </c>
      <c r="N12" s="25">
        <f t="shared" ref="N12:AC25" si="7">+M12</f>
        <v>1.7406734693877561</v>
      </c>
      <c r="O12" s="25">
        <f t="shared" si="7"/>
        <v>1.7406734693877561</v>
      </c>
      <c r="P12" s="25">
        <f t="shared" si="7"/>
        <v>1.7406734693877561</v>
      </c>
      <c r="Q12" s="25">
        <f t="shared" si="7"/>
        <v>1.7406734693877561</v>
      </c>
      <c r="R12" s="25">
        <f t="shared" si="7"/>
        <v>1.7406734693877561</v>
      </c>
      <c r="S12" s="25">
        <f t="shared" si="7"/>
        <v>1.7406734693877561</v>
      </c>
      <c r="T12" s="25">
        <f t="shared" si="7"/>
        <v>1.7406734693877561</v>
      </c>
      <c r="U12" s="25">
        <f t="shared" si="7"/>
        <v>1.7406734693877561</v>
      </c>
      <c r="V12" s="25">
        <f t="shared" si="7"/>
        <v>1.7406734693877561</v>
      </c>
      <c r="W12" s="25">
        <f t="shared" si="7"/>
        <v>1.7406734693877561</v>
      </c>
      <c r="X12" s="25">
        <f t="shared" si="7"/>
        <v>1.7406734693877561</v>
      </c>
      <c r="Y12" s="25">
        <f t="shared" si="7"/>
        <v>1.7406734693877561</v>
      </c>
      <c r="Z12" s="25">
        <f t="shared" si="7"/>
        <v>1.7406734693877561</v>
      </c>
      <c r="AA12" s="25">
        <f t="shared" si="7"/>
        <v>1.7406734693877561</v>
      </c>
      <c r="AB12" s="25"/>
      <c r="AC12" s="25"/>
      <c r="AD12" s="25"/>
      <c r="AE12" s="25"/>
      <c r="AF12" s="25"/>
      <c r="AG12" s="25"/>
      <c r="AH12" s="25"/>
      <c r="AI12" s="25"/>
      <c r="AJ12" s="25"/>
    </row>
    <row r="13" spans="1:38" x14ac:dyDescent="0.25">
      <c r="A13" s="252">
        <f t="shared" si="4"/>
        <v>5</v>
      </c>
      <c r="B13" s="40" t="s">
        <v>167</v>
      </c>
      <c r="C13" s="41">
        <f>+'(Ex 2 Pg 2)Book Depr'!G13</f>
        <v>14366.920000000002</v>
      </c>
      <c r="D13" s="42">
        <f>+'(Ex 2 Pg 3)Fed Depr'!G13</f>
        <v>755.58000000000175</v>
      </c>
      <c r="E13" s="42">
        <f t="shared" si="0"/>
        <v>13611.34</v>
      </c>
      <c r="F13" s="42">
        <f t="shared" si="1"/>
        <v>4627.8556000000008</v>
      </c>
      <c r="G13" s="42">
        <f t="shared" si="2"/>
        <v>2858.3813999999998</v>
      </c>
      <c r="H13" s="42">
        <f t="shared" si="3"/>
        <v>1769.474200000001</v>
      </c>
      <c r="J13" s="6">
        <f>+'(Ex 2 Pg 4) Useful Lives'!X147</f>
        <v>15.685793650793647</v>
      </c>
      <c r="K13" s="91">
        <f>H13/J13</f>
        <v>112.80743833516334</v>
      </c>
      <c r="L13" s="91"/>
      <c r="M13" s="25">
        <f t="shared" ref="M13:M25" si="8">$K13</f>
        <v>112.80743833516334</v>
      </c>
      <c r="N13" s="25">
        <f t="shared" si="7"/>
        <v>112.80743833516334</v>
      </c>
      <c r="O13" s="25">
        <f t="shared" si="7"/>
        <v>112.80743833516334</v>
      </c>
      <c r="P13" s="25">
        <f t="shared" si="7"/>
        <v>112.80743833516334</v>
      </c>
      <c r="Q13" s="25">
        <f t="shared" si="7"/>
        <v>112.80743833516334</v>
      </c>
      <c r="R13" s="25">
        <f t="shared" si="7"/>
        <v>112.80743833516334</v>
      </c>
      <c r="S13" s="25">
        <f t="shared" si="7"/>
        <v>112.80743833516334</v>
      </c>
      <c r="T13" s="25">
        <f t="shared" si="7"/>
        <v>112.80743833516334</v>
      </c>
      <c r="U13" s="25">
        <f t="shared" si="7"/>
        <v>112.80743833516334</v>
      </c>
      <c r="V13" s="25">
        <f t="shared" si="7"/>
        <v>112.80743833516334</v>
      </c>
      <c r="W13" s="25">
        <f t="shared" si="7"/>
        <v>112.80743833516334</v>
      </c>
      <c r="X13" s="25">
        <f t="shared" si="7"/>
        <v>112.80743833516334</v>
      </c>
      <c r="Y13" s="25">
        <f t="shared" si="7"/>
        <v>112.80743833516334</v>
      </c>
      <c r="Z13" s="25">
        <f t="shared" si="7"/>
        <v>112.80743833516334</v>
      </c>
      <c r="AA13" s="25">
        <f t="shared" si="7"/>
        <v>112.80743833516334</v>
      </c>
      <c r="AB13" s="25">
        <f t="shared" si="7"/>
        <v>112.80743833516334</v>
      </c>
      <c r="AC13" s="25"/>
      <c r="AD13" s="25"/>
      <c r="AE13" s="25"/>
      <c r="AF13" s="25"/>
      <c r="AG13" s="25"/>
      <c r="AH13" s="25"/>
      <c r="AI13" s="25"/>
      <c r="AJ13" s="25"/>
    </row>
    <row r="14" spans="1:38" x14ac:dyDescent="0.25">
      <c r="A14" s="252">
        <f t="shared" si="4"/>
        <v>6</v>
      </c>
      <c r="B14" s="40" t="s">
        <v>168</v>
      </c>
      <c r="C14" s="41">
        <f>+'(Ex 2 Pg 2)Book Depr'!G14</f>
        <v>59359</v>
      </c>
      <c r="D14" s="42">
        <f>+'(Ex 2 Pg 3)Fed Depr'!G14</f>
        <v>50000</v>
      </c>
      <c r="E14" s="42">
        <f t="shared" si="0"/>
        <v>9359</v>
      </c>
      <c r="F14" s="42">
        <f t="shared" si="1"/>
        <v>3182.0600000000004</v>
      </c>
      <c r="G14" s="42">
        <f t="shared" si="2"/>
        <v>1965.3899999999999</v>
      </c>
      <c r="H14" s="42">
        <f t="shared" si="3"/>
        <v>1216.6700000000005</v>
      </c>
      <c r="I14" s="23"/>
      <c r="J14" s="6">
        <v>0</v>
      </c>
      <c r="K14" s="91">
        <v>0</v>
      </c>
      <c r="L14" s="91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</row>
    <row r="15" spans="1:38" x14ac:dyDescent="0.25">
      <c r="A15" s="252">
        <f t="shared" si="4"/>
        <v>7</v>
      </c>
      <c r="B15" s="40" t="s">
        <v>64</v>
      </c>
      <c r="C15" s="41">
        <f>+'(Ex 2 Pg 2)Book Depr'!G15</f>
        <v>763430.7699999999</v>
      </c>
      <c r="D15" s="42">
        <f>+'(Ex 2 Pg 3)Fed Depr'!G15</f>
        <v>137421.04000000004</v>
      </c>
      <c r="E15" s="42">
        <f t="shared" si="0"/>
        <v>626009.72999999986</v>
      </c>
      <c r="F15" s="42">
        <f t="shared" si="1"/>
        <v>212843.30819999997</v>
      </c>
      <c r="G15" s="42">
        <f>E15*$G$8</f>
        <v>131462.04329999996</v>
      </c>
      <c r="H15" s="42">
        <f t="shared" si="3"/>
        <v>81381.264900000009</v>
      </c>
      <c r="J15" s="6">
        <f>+'(Ex 2 Pg 4) Useful Lives'!X451</f>
        <v>21.605242566510174</v>
      </c>
      <c r="K15" s="91">
        <f t="shared" si="6"/>
        <v>3766.7369227387139</v>
      </c>
      <c r="L15" s="91"/>
      <c r="M15" s="25">
        <f t="shared" si="8"/>
        <v>3766.7369227387139</v>
      </c>
      <c r="N15" s="25">
        <f t="shared" si="7"/>
        <v>3766.7369227387139</v>
      </c>
      <c r="O15" s="25">
        <f t="shared" si="7"/>
        <v>3766.7369227387139</v>
      </c>
      <c r="P15" s="25">
        <f t="shared" si="7"/>
        <v>3766.7369227387139</v>
      </c>
      <c r="Q15" s="25">
        <f t="shared" si="7"/>
        <v>3766.7369227387139</v>
      </c>
      <c r="R15" s="25">
        <f t="shared" si="7"/>
        <v>3766.7369227387139</v>
      </c>
      <c r="S15" s="25">
        <f t="shared" si="7"/>
        <v>3766.7369227387139</v>
      </c>
      <c r="T15" s="25">
        <f t="shared" si="7"/>
        <v>3766.7369227387139</v>
      </c>
      <c r="U15" s="25">
        <f t="shared" si="7"/>
        <v>3766.7369227387139</v>
      </c>
      <c r="V15" s="25">
        <f t="shared" si="7"/>
        <v>3766.7369227387139</v>
      </c>
      <c r="W15" s="25">
        <f t="shared" si="7"/>
        <v>3766.7369227387139</v>
      </c>
      <c r="X15" s="25">
        <f t="shared" si="7"/>
        <v>3766.7369227387139</v>
      </c>
      <c r="Y15" s="25">
        <f t="shared" si="7"/>
        <v>3766.7369227387139</v>
      </c>
      <c r="Z15" s="25">
        <f t="shared" si="7"/>
        <v>3766.7369227387139</v>
      </c>
      <c r="AA15" s="25">
        <f t="shared" si="7"/>
        <v>3766.7369227387139</v>
      </c>
      <c r="AB15" s="25">
        <f t="shared" si="7"/>
        <v>3766.7369227387139</v>
      </c>
      <c r="AC15" s="25">
        <f t="shared" si="7"/>
        <v>3766.7369227387139</v>
      </c>
      <c r="AD15" s="25">
        <f t="shared" ref="AD15:AL17" si="9">+AC15</f>
        <v>3766.7369227387139</v>
      </c>
      <c r="AE15" s="25">
        <f t="shared" si="9"/>
        <v>3766.7369227387139</v>
      </c>
      <c r="AF15" s="25">
        <f t="shared" si="9"/>
        <v>3766.7369227387139</v>
      </c>
      <c r="AG15" s="25">
        <f t="shared" si="9"/>
        <v>3766.7369227387139</v>
      </c>
      <c r="AH15" s="25">
        <f t="shared" si="9"/>
        <v>3766.7369227387139</v>
      </c>
      <c r="AI15" s="25"/>
      <c r="AJ15" s="25"/>
    </row>
    <row r="16" spans="1:38" x14ac:dyDescent="0.25">
      <c r="A16" s="252">
        <f t="shared" si="4"/>
        <v>8</v>
      </c>
      <c r="B16" s="40" t="s">
        <v>169</v>
      </c>
      <c r="C16" s="41">
        <f>+'(Ex 2 Pg 2)Book Depr'!G16</f>
        <v>47943.869999999995</v>
      </c>
      <c r="D16" s="42">
        <f>+'(Ex 2 Pg 3)Fed Depr'!G16</f>
        <v>14552.849999999999</v>
      </c>
      <c r="E16" s="42">
        <f t="shared" si="0"/>
        <v>33391.019999999997</v>
      </c>
      <c r="F16" s="42">
        <f t="shared" si="1"/>
        <v>11352.9468</v>
      </c>
      <c r="G16" s="42">
        <f t="shared" si="2"/>
        <v>7012.1141999999991</v>
      </c>
      <c r="H16" s="42">
        <f t="shared" si="3"/>
        <v>4340.8326000000006</v>
      </c>
      <c r="J16" s="6">
        <f>+'(Ex 2 Pg 4) Useful Lives'!X534</f>
        <v>22.350638138138134</v>
      </c>
      <c r="K16" s="91">
        <f t="shared" si="6"/>
        <v>194.21515274738385</v>
      </c>
      <c r="L16" s="91"/>
      <c r="M16" s="25">
        <f t="shared" si="8"/>
        <v>194.21515274738385</v>
      </c>
      <c r="N16" s="25">
        <f t="shared" si="7"/>
        <v>194.21515274738385</v>
      </c>
      <c r="O16" s="25">
        <f t="shared" si="7"/>
        <v>194.21515274738385</v>
      </c>
      <c r="P16" s="25">
        <f t="shared" si="7"/>
        <v>194.21515274738385</v>
      </c>
      <c r="Q16" s="25">
        <f t="shared" si="7"/>
        <v>194.21515274738385</v>
      </c>
      <c r="R16" s="25">
        <f t="shared" si="7"/>
        <v>194.21515274738385</v>
      </c>
      <c r="S16" s="25">
        <f t="shared" si="7"/>
        <v>194.21515274738385</v>
      </c>
      <c r="T16" s="25">
        <f t="shared" si="7"/>
        <v>194.21515274738385</v>
      </c>
      <c r="U16" s="25">
        <f t="shared" si="7"/>
        <v>194.21515274738385</v>
      </c>
      <c r="V16" s="25">
        <f t="shared" si="7"/>
        <v>194.21515274738385</v>
      </c>
      <c r="W16" s="25">
        <f t="shared" si="7"/>
        <v>194.21515274738385</v>
      </c>
      <c r="X16" s="25">
        <f t="shared" si="7"/>
        <v>194.21515274738385</v>
      </c>
      <c r="Y16" s="25">
        <f t="shared" si="7"/>
        <v>194.21515274738385</v>
      </c>
      <c r="Z16" s="25">
        <f t="shared" si="7"/>
        <v>194.21515274738385</v>
      </c>
      <c r="AA16" s="25">
        <f t="shared" si="7"/>
        <v>194.21515274738385</v>
      </c>
      <c r="AB16" s="25">
        <f t="shared" si="7"/>
        <v>194.21515274738385</v>
      </c>
      <c r="AC16" s="25">
        <f t="shared" si="7"/>
        <v>194.21515274738385</v>
      </c>
      <c r="AD16" s="25">
        <f t="shared" si="9"/>
        <v>194.21515274738385</v>
      </c>
      <c r="AE16" s="25">
        <f t="shared" si="9"/>
        <v>194.21515274738385</v>
      </c>
      <c r="AF16" s="25">
        <f t="shared" si="9"/>
        <v>194.21515274738385</v>
      </c>
      <c r="AG16" s="25">
        <f t="shared" si="9"/>
        <v>194.21515274738385</v>
      </c>
      <c r="AH16" s="25">
        <f t="shared" si="9"/>
        <v>194.21515274738385</v>
      </c>
      <c r="AI16" s="25"/>
      <c r="AJ16" s="25"/>
    </row>
    <row r="17" spans="1:38" x14ac:dyDescent="0.25">
      <c r="A17" s="252">
        <f t="shared" si="4"/>
        <v>9</v>
      </c>
      <c r="B17" s="40" t="s">
        <v>170</v>
      </c>
      <c r="C17" s="41">
        <f>+'(Ex 2 Pg 2)Book Depr'!G17</f>
        <v>221548.29000000004</v>
      </c>
      <c r="D17" s="42">
        <f>+'(Ex 2 Pg 3)Fed Depr'!G17</f>
        <v>82906.180000000022</v>
      </c>
      <c r="E17" s="42">
        <f t="shared" si="0"/>
        <v>138642.11000000002</v>
      </c>
      <c r="F17" s="42">
        <f t="shared" si="1"/>
        <v>47138.317400000007</v>
      </c>
      <c r="G17" s="42">
        <f t="shared" si="2"/>
        <v>29114.843100000002</v>
      </c>
      <c r="H17" s="42">
        <f t="shared" si="3"/>
        <v>18023.474300000005</v>
      </c>
      <c r="J17" s="6">
        <f>+'(Ex 2 Pg 4) Useful Lives'!X677</f>
        <v>26.135463659147863</v>
      </c>
      <c r="K17" s="91">
        <f t="shared" si="6"/>
        <v>689.61754553344144</v>
      </c>
      <c r="L17" s="91"/>
      <c r="M17" s="25">
        <f t="shared" si="8"/>
        <v>689.61754553344144</v>
      </c>
      <c r="N17" s="25">
        <f t="shared" si="7"/>
        <v>689.61754553344144</v>
      </c>
      <c r="O17" s="25">
        <f t="shared" si="7"/>
        <v>689.61754553344144</v>
      </c>
      <c r="P17" s="25">
        <f t="shared" si="7"/>
        <v>689.61754553344144</v>
      </c>
      <c r="Q17" s="25">
        <f t="shared" si="7"/>
        <v>689.61754553344144</v>
      </c>
      <c r="R17" s="25">
        <f t="shared" si="7"/>
        <v>689.61754553344144</v>
      </c>
      <c r="S17" s="25">
        <f t="shared" si="7"/>
        <v>689.61754553344144</v>
      </c>
      <c r="T17" s="25">
        <f t="shared" si="7"/>
        <v>689.61754553344144</v>
      </c>
      <c r="U17" s="25">
        <f t="shared" si="7"/>
        <v>689.61754553344144</v>
      </c>
      <c r="V17" s="25">
        <f t="shared" si="7"/>
        <v>689.61754553344144</v>
      </c>
      <c r="W17" s="25">
        <f t="shared" si="7"/>
        <v>689.61754553344144</v>
      </c>
      <c r="X17" s="25">
        <f t="shared" si="7"/>
        <v>689.61754553344144</v>
      </c>
      <c r="Y17" s="25">
        <f t="shared" si="7"/>
        <v>689.61754553344144</v>
      </c>
      <c r="Z17" s="25">
        <f t="shared" si="7"/>
        <v>689.61754553344144</v>
      </c>
      <c r="AA17" s="25">
        <f t="shared" si="7"/>
        <v>689.61754553344144</v>
      </c>
      <c r="AB17" s="25">
        <f t="shared" si="7"/>
        <v>689.61754553344144</v>
      </c>
      <c r="AC17" s="25">
        <f t="shared" si="7"/>
        <v>689.61754553344144</v>
      </c>
      <c r="AD17" s="25">
        <f t="shared" si="9"/>
        <v>689.61754553344144</v>
      </c>
      <c r="AE17" s="25">
        <f t="shared" si="9"/>
        <v>689.61754553344144</v>
      </c>
      <c r="AF17" s="25">
        <f t="shared" si="9"/>
        <v>689.61754553344144</v>
      </c>
      <c r="AG17" s="25">
        <f t="shared" si="9"/>
        <v>689.61754553344144</v>
      </c>
      <c r="AH17" s="25">
        <f t="shared" si="9"/>
        <v>689.61754553344144</v>
      </c>
      <c r="AI17" s="25">
        <f t="shared" si="9"/>
        <v>689.61754553344144</v>
      </c>
      <c r="AJ17" s="25">
        <f t="shared" si="9"/>
        <v>689.61754553344144</v>
      </c>
      <c r="AK17" s="25">
        <f t="shared" si="9"/>
        <v>689.61754553344144</v>
      </c>
      <c r="AL17" s="25">
        <f t="shared" si="9"/>
        <v>689.61754553344144</v>
      </c>
    </row>
    <row r="18" spans="1:38" x14ac:dyDescent="0.25">
      <c r="A18" s="252">
        <f t="shared" si="4"/>
        <v>10</v>
      </c>
      <c r="B18" s="40" t="s">
        <v>171</v>
      </c>
      <c r="C18" s="41">
        <f>+'(Ex 2 Pg 2)Book Depr'!G18</f>
        <v>0</v>
      </c>
      <c r="D18" s="42">
        <f>+'(Ex 2 Pg 3)Fed Depr'!G18</f>
        <v>0</v>
      </c>
      <c r="E18" s="42">
        <f t="shared" si="0"/>
        <v>0</v>
      </c>
      <c r="F18" s="42">
        <f t="shared" ref="F18:F24" si="10">E18*$F$8</f>
        <v>0</v>
      </c>
      <c r="G18" s="42">
        <f t="shared" ref="G18:G24" si="11">E18*$G$8</f>
        <v>0</v>
      </c>
      <c r="H18" s="42">
        <f t="shared" si="3"/>
        <v>0</v>
      </c>
      <c r="J18" s="6">
        <v>0</v>
      </c>
      <c r="K18" s="91">
        <v>0</v>
      </c>
      <c r="L18" s="91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</row>
    <row r="19" spans="1:38" x14ac:dyDescent="0.25">
      <c r="A19" s="252">
        <f t="shared" si="4"/>
        <v>11</v>
      </c>
      <c r="B19" s="40" t="s">
        <v>172</v>
      </c>
      <c r="C19" s="41">
        <f>+'(Ex 2 Pg 2)Book Depr'!G19</f>
        <v>454.80000000000109</v>
      </c>
      <c r="D19" s="42">
        <f>+'(Ex 2 Pg 3)Fed Depr'!G19</f>
        <v>0</v>
      </c>
      <c r="E19" s="42">
        <f t="shared" si="0"/>
        <v>454.80000000000109</v>
      </c>
      <c r="F19" s="42">
        <f t="shared" si="10"/>
        <v>154.63200000000037</v>
      </c>
      <c r="G19" s="42">
        <f t="shared" si="11"/>
        <v>95.508000000000223</v>
      </c>
      <c r="H19" s="42">
        <f t="shared" si="3"/>
        <v>59.124000000000152</v>
      </c>
      <c r="J19" s="6">
        <f>+'(Ex 2 Pg 4) Useful Lives'!X707</f>
        <v>2.2277777777777779</v>
      </c>
      <c r="K19" s="91">
        <f t="shared" si="6"/>
        <v>26.53945137157114</v>
      </c>
      <c r="L19" s="91"/>
      <c r="M19" s="25">
        <f t="shared" si="8"/>
        <v>26.53945137157114</v>
      </c>
      <c r="N19" s="25">
        <f t="shared" si="7"/>
        <v>26.53945137157114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</row>
    <row r="20" spans="1:38" x14ac:dyDescent="0.25">
      <c r="A20" s="252">
        <f t="shared" si="4"/>
        <v>12</v>
      </c>
      <c r="B20" s="40" t="s">
        <v>173</v>
      </c>
      <c r="C20" s="41">
        <f>+'(Ex 2 Pg 2)Book Depr'!G20</f>
        <v>15689.370000000003</v>
      </c>
      <c r="D20" s="42">
        <f>+'(Ex 2 Pg 3)Fed Depr'!G20</f>
        <v>0</v>
      </c>
      <c r="E20" s="42">
        <f t="shared" si="0"/>
        <v>15689.370000000003</v>
      </c>
      <c r="F20" s="42">
        <f t="shared" si="10"/>
        <v>5334.3858000000009</v>
      </c>
      <c r="G20" s="42">
        <f t="shared" si="11"/>
        <v>3294.7677000000003</v>
      </c>
      <c r="H20" s="42">
        <f t="shared" si="3"/>
        <v>2039.6181000000006</v>
      </c>
      <c r="J20" s="6">
        <f>+'(Ex 2 Pg 4) Useful Lives'!X718</f>
        <v>2.8833333333333337</v>
      </c>
      <c r="K20" s="91">
        <f t="shared" si="6"/>
        <v>707.38200000000006</v>
      </c>
      <c r="L20" s="91"/>
      <c r="M20" s="25">
        <f t="shared" si="8"/>
        <v>707.38200000000006</v>
      </c>
      <c r="N20" s="25">
        <f t="shared" si="7"/>
        <v>707.38200000000006</v>
      </c>
      <c r="O20" s="25">
        <f t="shared" si="7"/>
        <v>707.38200000000006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</row>
    <row r="21" spans="1:38" x14ac:dyDescent="0.25">
      <c r="A21" s="252">
        <f t="shared" si="4"/>
        <v>13</v>
      </c>
      <c r="B21" s="40" t="s">
        <v>174</v>
      </c>
      <c r="C21" s="41">
        <f>+'(Ex 2 Pg 2)Book Depr'!G21</f>
        <v>15249.279999999999</v>
      </c>
      <c r="D21" s="42">
        <f>+'(Ex 2 Pg 3)Fed Depr'!G21</f>
        <v>1130.2200000000012</v>
      </c>
      <c r="E21" s="42">
        <f t="shared" si="0"/>
        <v>14119.059999999998</v>
      </c>
      <c r="F21" s="42">
        <f t="shared" si="10"/>
        <v>4800.4803999999995</v>
      </c>
      <c r="G21" s="42">
        <f t="shared" si="11"/>
        <v>2965.0025999999993</v>
      </c>
      <c r="H21" s="42">
        <f t="shared" si="3"/>
        <v>1835.4778000000001</v>
      </c>
      <c r="J21" s="6">
        <f>+'(Ex 2 Pg 4) Useful Lives'!X764</f>
        <v>18.507132132132131</v>
      </c>
      <c r="K21" s="91">
        <f t="shared" si="6"/>
        <v>99.176781518366028</v>
      </c>
      <c r="L21" s="91"/>
      <c r="M21" s="25">
        <f t="shared" si="8"/>
        <v>99.176781518366028</v>
      </c>
      <c r="N21" s="25">
        <f t="shared" si="7"/>
        <v>99.176781518366028</v>
      </c>
      <c r="O21" s="25">
        <f t="shared" si="7"/>
        <v>99.176781518366028</v>
      </c>
      <c r="P21" s="25">
        <f t="shared" si="7"/>
        <v>99.176781518366028</v>
      </c>
      <c r="Q21" s="25">
        <f t="shared" si="7"/>
        <v>99.176781518366028</v>
      </c>
      <c r="R21" s="25">
        <f t="shared" si="7"/>
        <v>99.176781518366028</v>
      </c>
      <c r="S21" s="25">
        <f t="shared" si="7"/>
        <v>99.176781518366028</v>
      </c>
      <c r="T21" s="25">
        <f t="shared" si="7"/>
        <v>99.176781518366028</v>
      </c>
      <c r="U21" s="25">
        <f t="shared" si="7"/>
        <v>99.176781518366028</v>
      </c>
      <c r="V21" s="25">
        <f t="shared" si="7"/>
        <v>99.176781518366028</v>
      </c>
      <c r="W21" s="25">
        <f t="shared" si="7"/>
        <v>99.176781518366028</v>
      </c>
      <c r="X21" s="25">
        <f t="shared" si="7"/>
        <v>99.176781518366028</v>
      </c>
      <c r="Y21" s="25">
        <f t="shared" si="7"/>
        <v>99.176781518366028</v>
      </c>
      <c r="Z21" s="25">
        <f t="shared" si="7"/>
        <v>99.176781518366028</v>
      </c>
      <c r="AA21" s="25">
        <f t="shared" si="7"/>
        <v>99.176781518366028</v>
      </c>
      <c r="AB21" s="25">
        <f t="shared" si="7"/>
        <v>99.176781518366028</v>
      </c>
      <c r="AC21" s="25">
        <f t="shared" si="7"/>
        <v>99.176781518366028</v>
      </c>
      <c r="AD21" s="25">
        <f t="shared" ref="AD21:AK23" si="12">+AC21</f>
        <v>99.176781518366028</v>
      </c>
      <c r="AE21" s="25"/>
      <c r="AF21" s="25"/>
      <c r="AG21" s="25"/>
      <c r="AH21" s="25"/>
      <c r="AI21" s="25"/>
      <c r="AJ21" s="25"/>
    </row>
    <row r="22" spans="1:38" x14ac:dyDescent="0.25">
      <c r="A22" s="252">
        <f t="shared" si="4"/>
        <v>14</v>
      </c>
      <c r="B22" s="40" t="s">
        <v>68</v>
      </c>
      <c r="C22" s="41">
        <f>+'(Ex 2 Pg 2)Book Depr'!G22</f>
        <v>652277.75</v>
      </c>
      <c r="D22" s="42">
        <f>+'(Ex 2 Pg 3)Fed Depr'!G22</f>
        <v>166811.56000000006</v>
      </c>
      <c r="E22" s="42">
        <f t="shared" si="0"/>
        <v>485466.18999999994</v>
      </c>
      <c r="F22" s="42">
        <f t="shared" si="10"/>
        <v>165058.50459999999</v>
      </c>
      <c r="G22" s="42">
        <f t="shared" si="11"/>
        <v>101947.89989999999</v>
      </c>
      <c r="H22" s="42">
        <f t="shared" si="3"/>
        <v>63110.604699999996</v>
      </c>
      <c r="I22" s="23"/>
      <c r="J22" s="6">
        <f>+'(Ex 2 Pg 4) Useful Lives'!X1084</f>
        <v>21.303438728117182</v>
      </c>
      <c r="K22" s="91">
        <f t="shared" si="6"/>
        <v>2962.4609202975266</v>
      </c>
      <c r="L22" s="91"/>
      <c r="M22" s="25">
        <f t="shared" si="8"/>
        <v>2962.4609202975266</v>
      </c>
      <c r="N22" s="25">
        <f t="shared" si="7"/>
        <v>2962.4609202975266</v>
      </c>
      <c r="O22" s="25">
        <f t="shared" si="7"/>
        <v>2962.4609202975266</v>
      </c>
      <c r="P22" s="25">
        <f t="shared" si="7"/>
        <v>2962.4609202975266</v>
      </c>
      <c r="Q22" s="25">
        <f t="shared" si="7"/>
        <v>2962.4609202975266</v>
      </c>
      <c r="R22" s="25">
        <f t="shared" si="7"/>
        <v>2962.4609202975266</v>
      </c>
      <c r="S22" s="25">
        <f t="shared" si="7"/>
        <v>2962.4609202975266</v>
      </c>
      <c r="T22" s="25">
        <f t="shared" si="7"/>
        <v>2962.4609202975266</v>
      </c>
      <c r="U22" s="25">
        <f t="shared" si="7"/>
        <v>2962.4609202975266</v>
      </c>
      <c r="V22" s="25">
        <f t="shared" si="7"/>
        <v>2962.4609202975266</v>
      </c>
      <c r="W22" s="25">
        <f t="shared" si="7"/>
        <v>2962.4609202975266</v>
      </c>
      <c r="X22" s="25">
        <f t="shared" si="7"/>
        <v>2962.4609202975266</v>
      </c>
      <c r="Y22" s="25">
        <f t="shared" si="7"/>
        <v>2962.4609202975266</v>
      </c>
      <c r="Z22" s="25">
        <f t="shared" si="7"/>
        <v>2962.4609202975266</v>
      </c>
      <c r="AA22" s="25">
        <f t="shared" si="7"/>
        <v>2962.4609202975266</v>
      </c>
      <c r="AB22" s="25">
        <f t="shared" si="7"/>
        <v>2962.4609202975266</v>
      </c>
      <c r="AC22" s="25">
        <f t="shared" si="7"/>
        <v>2962.4609202975266</v>
      </c>
      <c r="AD22" s="25">
        <f t="shared" si="12"/>
        <v>2962.4609202975266</v>
      </c>
      <c r="AE22" s="25">
        <f t="shared" si="12"/>
        <v>2962.4609202975266</v>
      </c>
      <c r="AF22" s="25">
        <f t="shared" si="12"/>
        <v>2962.4609202975266</v>
      </c>
      <c r="AG22" s="25">
        <f t="shared" si="12"/>
        <v>2962.4609202975266</v>
      </c>
      <c r="AH22" s="25"/>
      <c r="AI22" s="25"/>
      <c r="AJ22" s="25"/>
    </row>
    <row r="23" spans="1:38" x14ac:dyDescent="0.25">
      <c r="A23" s="252"/>
      <c r="B23" s="40" t="s">
        <v>175</v>
      </c>
      <c r="C23" s="41">
        <f>+'(Ex 2 Pg 2)Book Depr'!G23</f>
        <v>134235.75</v>
      </c>
      <c r="D23" s="42">
        <f>+'(Ex 2 Pg 3)Fed Depr'!G23</f>
        <v>36952.630000000005</v>
      </c>
      <c r="E23" s="42">
        <f t="shared" si="0"/>
        <v>97283.12</v>
      </c>
      <c r="F23" s="42">
        <f t="shared" si="10"/>
        <v>33076.260800000004</v>
      </c>
      <c r="G23" s="42">
        <f t="shared" si="11"/>
        <v>20429.455199999997</v>
      </c>
      <c r="H23" s="42">
        <f t="shared" si="3"/>
        <v>12646.805600000007</v>
      </c>
      <c r="I23" s="23"/>
      <c r="J23" s="6">
        <f>+'(Ex 2 Pg 4) Useful Lives'!X1115</f>
        <v>25.085732323232321</v>
      </c>
      <c r="K23" s="91">
        <f t="shared" si="6"/>
        <v>504.14336871033208</v>
      </c>
      <c r="L23" s="91"/>
      <c r="M23" s="25">
        <f t="shared" si="8"/>
        <v>504.14336871033208</v>
      </c>
      <c r="N23" s="25">
        <f t="shared" si="7"/>
        <v>504.14336871033208</v>
      </c>
      <c r="O23" s="25">
        <f t="shared" si="7"/>
        <v>504.14336871033208</v>
      </c>
      <c r="P23" s="25">
        <f t="shared" si="7"/>
        <v>504.14336871033208</v>
      </c>
      <c r="Q23" s="25">
        <f t="shared" si="7"/>
        <v>504.14336871033208</v>
      </c>
      <c r="R23" s="25">
        <f t="shared" si="7"/>
        <v>504.14336871033208</v>
      </c>
      <c r="S23" s="25">
        <f t="shared" si="7"/>
        <v>504.14336871033208</v>
      </c>
      <c r="T23" s="25">
        <f t="shared" si="7"/>
        <v>504.14336871033208</v>
      </c>
      <c r="U23" s="25">
        <f t="shared" si="7"/>
        <v>504.14336871033208</v>
      </c>
      <c r="V23" s="25">
        <f t="shared" si="7"/>
        <v>504.14336871033208</v>
      </c>
      <c r="W23" s="25">
        <f t="shared" si="7"/>
        <v>504.14336871033208</v>
      </c>
      <c r="X23" s="25">
        <f t="shared" si="7"/>
        <v>504.14336871033208</v>
      </c>
      <c r="Y23" s="25">
        <f t="shared" si="7"/>
        <v>504.14336871033208</v>
      </c>
      <c r="Z23" s="25">
        <f t="shared" si="7"/>
        <v>504.14336871033208</v>
      </c>
      <c r="AA23" s="25">
        <f t="shared" si="7"/>
        <v>504.14336871033208</v>
      </c>
      <c r="AB23" s="25">
        <f t="shared" si="7"/>
        <v>504.14336871033208</v>
      </c>
      <c r="AC23" s="25">
        <f t="shared" si="7"/>
        <v>504.14336871033208</v>
      </c>
      <c r="AD23" s="25">
        <f t="shared" si="12"/>
        <v>504.14336871033208</v>
      </c>
      <c r="AE23" s="25">
        <f t="shared" si="12"/>
        <v>504.14336871033208</v>
      </c>
      <c r="AF23" s="25">
        <f t="shared" si="12"/>
        <v>504.14336871033208</v>
      </c>
      <c r="AG23" s="25">
        <f t="shared" si="12"/>
        <v>504.14336871033208</v>
      </c>
      <c r="AH23" s="25">
        <f t="shared" si="12"/>
        <v>504.14336871033208</v>
      </c>
      <c r="AI23" s="25">
        <f t="shared" si="12"/>
        <v>504.14336871033208</v>
      </c>
      <c r="AJ23" s="25">
        <f t="shared" si="12"/>
        <v>504.14336871033208</v>
      </c>
      <c r="AK23" s="25">
        <f t="shared" si="12"/>
        <v>504.14336871033208</v>
      </c>
    </row>
    <row r="24" spans="1:38" x14ac:dyDescent="0.25">
      <c r="A24" s="252">
        <f>+A22+1</f>
        <v>15</v>
      </c>
      <c r="B24" s="40" t="s">
        <v>176</v>
      </c>
      <c r="C24" s="41">
        <f>+'(Ex 2 Pg 2)Book Depr'!G24</f>
        <v>6038.7999999999993</v>
      </c>
      <c r="D24" s="42">
        <f>+'(Ex 2 Pg 3)Fed Depr'!G24</f>
        <v>1379.7099999999991</v>
      </c>
      <c r="E24" s="42">
        <f t="shared" si="0"/>
        <v>4659.09</v>
      </c>
      <c r="F24" s="42">
        <f t="shared" si="10"/>
        <v>1584.0906000000002</v>
      </c>
      <c r="G24" s="42">
        <f t="shared" si="11"/>
        <v>978.40890000000002</v>
      </c>
      <c r="H24" s="42">
        <f t="shared" si="3"/>
        <v>605.68170000000021</v>
      </c>
      <c r="J24" s="6">
        <f>+'(Ex 2 Pg 4) Useful Lives'!X1140</f>
        <v>6.3005555555555546</v>
      </c>
      <c r="K24" s="91">
        <f t="shared" si="6"/>
        <v>96.131475178555732</v>
      </c>
      <c r="L24" s="91"/>
      <c r="M24" s="25">
        <f t="shared" si="8"/>
        <v>96.131475178555732</v>
      </c>
      <c r="N24" s="25">
        <f t="shared" si="7"/>
        <v>96.131475178555732</v>
      </c>
      <c r="O24" s="25">
        <f t="shared" si="7"/>
        <v>96.131475178555732</v>
      </c>
      <c r="P24" s="25">
        <f t="shared" si="7"/>
        <v>96.131475178555732</v>
      </c>
      <c r="Q24" s="25">
        <f t="shared" si="7"/>
        <v>96.131475178555732</v>
      </c>
      <c r="R24" s="25">
        <f t="shared" si="7"/>
        <v>96.131475178555732</v>
      </c>
      <c r="S24" s="25">
        <f t="shared" si="7"/>
        <v>96.131475178555732</v>
      </c>
      <c r="T24" s="25">
        <f t="shared" si="7"/>
        <v>96.131475178555732</v>
      </c>
      <c r="U24" s="25">
        <f t="shared" si="7"/>
        <v>96.131475178555732</v>
      </c>
      <c r="V24" s="25">
        <f t="shared" si="7"/>
        <v>96.131475178555732</v>
      </c>
      <c r="W24" s="25">
        <f t="shared" si="7"/>
        <v>96.131475178555732</v>
      </c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</row>
    <row r="25" spans="1:38" x14ac:dyDescent="0.25">
      <c r="A25" s="252">
        <f t="shared" si="4"/>
        <v>16</v>
      </c>
      <c r="B25" s="40" t="s">
        <v>177</v>
      </c>
      <c r="C25" s="41">
        <f>+'(Ex 2 Pg 2)Book Depr'!G25</f>
        <v>87385.040000000037</v>
      </c>
      <c r="D25" s="42">
        <f>+'(Ex 2 Pg 3)Fed Depr'!G25</f>
        <v>5505.3299999999581</v>
      </c>
      <c r="E25" s="42">
        <f t="shared" si="0"/>
        <v>81879.710000000079</v>
      </c>
      <c r="F25" s="42">
        <f t="shared" si="1"/>
        <v>27839.101400000029</v>
      </c>
      <c r="G25" s="42">
        <f t="shared" si="2"/>
        <v>17194.739100000017</v>
      </c>
      <c r="H25" s="42">
        <f t="shared" si="3"/>
        <v>10644.362300000012</v>
      </c>
      <c r="J25" s="6">
        <f>+'(Ex 2 Pg 4) Useful Lives'!X1174</f>
        <v>11.833333333333334</v>
      </c>
      <c r="K25" s="92">
        <f t="shared" si="6"/>
        <v>899.52357464788827</v>
      </c>
      <c r="L25" s="91"/>
      <c r="M25" s="39">
        <f t="shared" si="8"/>
        <v>899.52357464788827</v>
      </c>
      <c r="N25" s="39">
        <f t="shared" si="7"/>
        <v>899.52357464788827</v>
      </c>
      <c r="O25" s="39">
        <f t="shared" si="7"/>
        <v>899.52357464788827</v>
      </c>
      <c r="P25" s="39">
        <f t="shared" si="7"/>
        <v>899.52357464788827</v>
      </c>
      <c r="Q25" s="39">
        <f t="shared" si="7"/>
        <v>899.52357464788827</v>
      </c>
      <c r="R25" s="39">
        <f t="shared" si="7"/>
        <v>899.52357464788827</v>
      </c>
      <c r="S25" s="39">
        <f t="shared" si="7"/>
        <v>899.52357464788827</v>
      </c>
      <c r="T25" s="39">
        <f t="shared" si="7"/>
        <v>899.52357464788827</v>
      </c>
      <c r="U25" s="39">
        <f t="shared" si="7"/>
        <v>899.52357464788827</v>
      </c>
      <c r="V25" s="39">
        <f t="shared" si="7"/>
        <v>899.52357464788827</v>
      </c>
      <c r="W25" s="39">
        <f t="shared" si="7"/>
        <v>899.52357464788827</v>
      </c>
      <c r="X25" s="39">
        <f t="shared" si="7"/>
        <v>899.52357464788827</v>
      </c>
      <c r="Y25" s="39">
        <f t="shared" si="7"/>
        <v>899.52357464788827</v>
      </c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</row>
    <row r="26" spans="1:38" x14ac:dyDescent="0.25">
      <c r="A26" s="252">
        <f t="shared" si="4"/>
        <v>17</v>
      </c>
      <c r="C26" s="89">
        <f t="shared" ref="C26:H26" si="13">SUM(C9:C25)</f>
        <v>2018585.8300000003</v>
      </c>
      <c r="D26" s="18">
        <f t="shared" si="13"/>
        <v>497578.90000000008</v>
      </c>
      <c r="E26" s="18">
        <f t="shared" si="13"/>
        <v>1521006.9300000002</v>
      </c>
      <c r="F26" s="18">
        <f t="shared" si="13"/>
        <v>517142.35619999998</v>
      </c>
      <c r="G26" s="18">
        <f t="shared" si="13"/>
        <v>319411.45529999997</v>
      </c>
      <c r="H26" s="18">
        <f t="shared" si="13"/>
        <v>197730.90090000001</v>
      </c>
      <c r="K26" s="91">
        <f>SUM(K9:K25)</f>
        <v>10064.123624548331</v>
      </c>
      <c r="L26" s="25"/>
      <c r="M26" s="25">
        <f>SUM(M9:M25)</f>
        <v>10064.123624548331</v>
      </c>
      <c r="N26" s="25">
        <f t="shared" ref="N26:AL26" si="14">SUM(N9:N25)</f>
        <v>10064.123624548331</v>
      </c>
      <c r="O26" s="25">
        <f t="shared" si="14"/>
        <v>10037.58417317676</v>
      </c>
      <c r="P26" s="25">
        <f t="shared" si="14"/>
        <v>9330.20217317676</v>
      </c>
      <c r="Q26" s="25">
        <f t="shared" si="14"/>
        <v>9330.20217317676</v>
      </c>
      <c r="R26" s="25">
        <f t="shared" si="14"/>
        <v>9330.20217317676</v>
      </c>
      <c r="S26" s="25">
        <f t="shared" si="14"/>
        <v>9330.20217317676</v>
      </c>
      <c r="T26" s="25">
        <f t="shared" si="14"/>
        <v>9330.20217317676</v>
      </c>
      <c r="U26" s="25">
        <f t="shared" si="14"/>
        <v>9330.20217317676</v>
      </c>
      <c r="V26" s="25">
        <f t="shared" si="14"/>
        <v>9326.5538531767597</v>
      </c>
      <c r="W26" s="25">
        <f t="shared" si="14"/>
        <v>9326.5538531767597</v>
      </c>
      <c r="X26" s="25">
        <f t="shared" si="14"/>
        <v>9230.422377998204</v>
      </c>
      <c r="Y26" s="25">
        <f t="shared" si="14"/>
        <v>9230.422377998204</v>
      </c>
      <c r="Z26" s="25">
        <f t="shared" si="14"/>
        <v>8330.8988033503156</v>
      </c>
      <c r="AA26" s="25">
        <f t="shared" si="14"/>
        <v>8330.8988033503156</v>
      </c>
      <c r="AB26" s="25">
        <f t="shared" si="14"/>
        <v>8329.1581298809269</v>
      </c>
      <c r="AC26" s="25">
        <f t="shared" si="14"/>
        <v>8216.3506915457638</v>
      </c>
      <c r="AD26" s="25">
        <f t="shared" si="14"/>
        <v>8216.3506915457638</v>
      </c>
      <c r="AE26" s="25">
        <f t="shared" si="14"/>
        <v>8117.1739100273981</v>
      </c>
      <c r="AF26" s="25">
        <f t="shared" si="14"/>
        <v>8117.1739100273981</v>
      </c>
      <c r="AG26" s="25">
        <f t="shared" si="14"/>
        <v>8117.1739100273981</v>
      </c>
      <c r="AH26" s="25">
        <f t="shared" si="14"/>
        <v>5154.712989729871</v>
      </c>
      <c r="AI26" s="25">
        <f t="shared" si="14"/>
        <v>1193.7609142437736</v>
      </c>
      <c r="AJ26" s="25">
        <f t="shared" si="14"/>
        <v>1193.7609142437736</v>
      </c>
      <c r="AK26" s="25">
        <f t="shared" si="14"/>
        <v>1193.7609142437736</v>
      </c>
      <c r="AL26" s="25">
        <f t="shared" si="14"/>
        <v>689.61754553344144</v>
      </c>
    </row>
    <row r="27" spans="1:38" x14ac:dyDescent="0.25">
      <c r="A27" s="252">
        <f t="shared" si="4"/>
        <v>18</v>
      </c>
      <c r="C27" s="254" t="s">
        <v>178</v>
      </c>
      <c r="D27" s="252" t="s">
        <v>179</v>
      </c>
      <c r="K27" s="90">
        <f>+H26/K26</f>
        <v>19.64710572689075</v>
      </c>
      <c r="L27" s="25"/>
    </row>
    <row r="28" spans="1:38" x14ac:dyDescent="0.25">
      <c r="A28" s="252"/>
      <c r="C28" s="13"/>
    </row>
    <row r="29" spans="1:38" x14ac:dyDescent="0.25">
      <c r="A29" s="252"/>
      <c r="C29" s="13"/>
    </row>
    <row r="30" spans="1:38" x14ac:dyDescent="0.25">
      <c r="A30" s="252"/>
      <c r="C30" s="13"/>
    </row>
    <row r="31" spans="1:38" x14ac:dyDescent="0.25">
      <c r="A31" s="252"/>
      <c r="C31" s="13"/>
    </row>
  </sheetData>
  <mergeCells count="3">
    <mergeCell ref="B4:K4"/>
    <mergeCell ref="B5:K5"/>
    <mergeCell ref="B6:K6"/>
  </mergeCells>
  <pageMargins left="0.7" right="0.7" top="0.75" bottom="0.75" header="0.3" footer="0.3"/>
  <pageSetup scale="6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_ip_UnifiedCompliancePolicyUIAction xmlns="http://schemas.microsoft.com/sharepoint/v3" xsi:nil="true"/>
    <_ip_UnifiedCompliancePolicyProperties xmlns="http://schemas.microsoft.com/sharepoint/v3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C798ED-32C1-445F-A5CB-250A930A01DA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7558938a-8a22-4524-afb0-58b165029303"/>
    <ds:schemaRef ds:uri="99180bc4-2f7d-45e7-9e22-353907fb92c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FEEC960-3A26-4197-9066-2F7EC25064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2ED459-74EF-417B-AABF-FC1A0852DE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16</vt:i4>
      </vt:variant>
    </vt:vector>
  </HeadingPairs>
  <TitlesOfParts>
    <vt:vector size="37" baseType="lpstr">
      <vt:lpstr>Cover</vt:lpstr>
      <vt:lpstr>TOC</vt:lpstr>
      <vt:lpstr>(Ex 1 Pg 1) Deferred Tax</vt:lpstr>
      <vt:lpstr>(Pg 2) Clients TB</vt:lpstr>
      <vt:lpstr>(Pg 3) Fed Depr Report</vt:lpstr>
      <vt:lpstr>(Pg 4) State Depr Report</vt:lpstr>
      <vt:lpstr>(Pg 5) State Def Tax</vt:lpstr>
      <vt:lpstr>(Pg 6) Def Income Tax</vt:lpstr>
      <vt:lpstr>(Ex 2 Pg 1) NAV</vt:lpstr>
      <vt:lpstr>(Ex 2 Pg 2)Book Depr</vt:lpstr>
      <vt:lpstr>(Ex 2 Pg 3)Fed Depr</vt:lpstr>
      <vt:lpstr>(Ex 2 Pg 4) Useful Lives</vt:lpstr>
      <vt:lpstr>Exh 3 Pg 1 Refund</vt:lpstr>
      <vt:lpstr>Before</vt:lpstr>
      <vt:lpstr>After</vt:lpstr>
      <vt:lpstr>Summary</vt:lpstr>
      <vt:lpstr>Refund per Therm</vt:lpstr>
      <vt:lpstr>January</vt:lpstr>
      <vt:lpstr>Feb</vt:lpstr>
      <vt:lpstr>March</vt:lpstr>
      <vt:lpstr>April</vt:lpstr>
      <vt:lpstr>'(Ex 1 Pg 1) Deferred Tax'!Print_Area</vt:lpstr>
      <vt:lpstr>'(Ex 2 Pg 1) NAV'!Print_Area</vt:lpstr>
      <vt:lpstr>'(Ex 2 Pg 2)Book Depr'!Print_Area</vt:lpstr>
      <vt:lpstr>'(Ex 2 Pg 4) Useful Lives'!Print_Area</vt:lpstr>
      <vt:lpstr>'(Pg 2) Clients TB'!Print_Area</vt:lpstr>
      <vt:lpstr>'(Pg 3) Fed Depr Report'!Print_Area</vt:lpstr>
      <vt:lpstr>'(Pg 4) State Depr Report'!Print_Area</vt:lpstr>
      <vt:lpstr>'(Pg 5) State Def Tax'!Print_Area</vt:lpstr>
      <vt:lpstr>'(Pg 6) Def Income Tax'!Print_Area</vt:lpstr>
      <vt:lpstr>After!Print_Area</vt:lpstr>
      <vt:lpstr>April!Print_Area</vt:lpstr>
      <vt:lpstr>Cover!Print_Area</vt:lpstr>
      <vt:lpstr>Feb!Print_Area</vt:lpstr>
      <vt:lpstr>January!Print_Area</vt:lpstr>
      <vt:lpstr>March!Print_Area</vt:lpstr>
      <vt:lpstr>Summary!Print_Area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Kruger</dc:creator>
  <cp:keywords/>
  <dc:description/>
  <cp:lastModifiedBy>mbecerra</cp:lastModifiedBy>
  <cp:revision/>
  <dcterms:created xsi:type="dcterms:W3CDTF">2017-04-20T14:14:40Z</dcterms:created>
  <dcterms:modified xsi:type="dcterms:W3CDTF">2018-06-20T16:06:36Z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